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comments+xml" PartName="/xl/comments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H\Google Drive\PUS Program\Home4\Excel\"/>
    </mc:Choice>
  </mc:AlternateContent>
  <xr:revisionPtr revIDLastSave="0" documentId="13_ncr:1_{F8EC23C7-7E2C-43C0-8812-2B4858396FF9}" xr6:coauthVersionLast="45" xr6:coauthVersionMax="45" xr10:uidLastSave="{00000000-0000-0000-0000-000000000000}"/>
  <bookViews>
    <workbookView xWindow="195" yWindow="135" windowWidth="27705" windowHeight="20790" activeTab="2" xr2:uid="{A7E1FCFF-BEB6-4CE8-BDCB-9484A7C319E7}"/>
  </bookViews>
  <sheets>
    <sheet name="INPUT" sheetId="2" r:id="rId1"/>
    <sheet name="Cons" sheetId="1" r:id="rId2"/>
    <sheet name="ULS" sheetId="4" r:id="rId3"/>
    <sheet name="SLS" sheetId="5" r:id="rId4"/>
    <sheet name="FLS" sheetId="6" r:id="rId5"/>
  </sheets>
  <definedNames>
    <definedName name="_xlnm.Print_Area" localSheetId="1">'Cons'!$A$1:$N$1212</definedName>
    <definedName name="_xlnm.Print_Area" localSheetId="2">'ULS'!$A$1:$N$1658</definedName>
    <definedName name="_xlnm.Print_Area" localSheetId="3">'SLS'!$A$1:$N$344</definedName>
    <definedName name="_xlnm.Print_Area" localSheetId="4">'FLS'!$A$1:$N$158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92" authorId="0" shapeId="0" xr:uid="{3F981EB1-8579-416F-900A-443D6A4D4B0E}">
      <text>
        <r>
          <rPr>
            <b/>
            <sz val="9"/>
            <color indexed="81"/>
            <rFont val="Tahoma"/>
            <family val="2"/>
          </rPr>
          <t>Leave blank for the straight bridge</t>
        </r>
      </text>
    </comment>
    <comment ref="C415" authorId="0" shapeId="0" xr:uid="{C2B4FA22-D471-4D13-A515-34A03B857676}">
      <text>
        <r>
          <rPr>
            <b/>
            <sz val="9"/>
            <color indexed="81"/>
            <rFont val="Tahoma"/>
            <family val="2"/>
          </rPr>
          <t>Box flange / Open flange</t>
        </r>
      </text>
    </comment>
    <comment ref="M415" authorId="0" shapeId="0" xr:uid="{D6832258-64E8-4755-8E1F-1B17E4317513}">
      <text>
        <r>
          <rPr>
            <b/>
            <sz val="9"/>
            <color indexed="81"/>
            <rFont val="Tahoma"/>
            <family val="2"/>
          </rPr>
          <t>OF = Open flange</t>
        </r>
      </text>
    </comment>
    <comment ref="C655" authorId="0" shapeId="0" xr:uid="{28D64FF9-9E06-4FD9-A807-8BD7CE96F2FE}">
      <text>
        <r>
          <rPr>
            <b/>
            <sz val="9"/>
            <color indexed="81"/>
            <rFont val="Tahoma"/>
            <family val="2"/>
          </rPr>
          <t>Box flange / Open flange</t>
        </r>
      </text>
    </comment>
    <comment ref="J655" authorId="0" shapeId="0" xr:uid="{EC8F7956-90DA-4294-9FE1-73257A8044F6}">
      <text>
        <r>
          <rPr>
            <b/>
            <sz val="9"/>
            <color indexed="81"/>
            <rFont val="Tahoma"/>
            <family val="2"/>
          </rPr>
          <t>BF = box flange</t>
        </r>
      </text>
    </comment>
  </commentList>
</comments>
</file>

<file path=xl/sharedStrings.xml><?xml version="1.0" encoding="utf-8"?>
<sst xmlns="http://schemas.openxmlformats.org/spreadsheetml/2006/main" count="1140" uniqueCount="1140">
  <si>
    <t>Top flange</t>
  </si>
  <si>
    <t>Bottom flange</t>
  </si>
  <si>
    <t>Web</t>
  </si>
  <si>
    <t>Bot Conc</t>
  </si>
  <si>
    <t>Deck slab</t>
  </si>
  <si>
    <t>Tran Stif</t>
  </si>
  <si>
    <t>Rib</t>
  </si>
  <si>
    <t>Steel strength</t>
  </si>
  <si>
    <t>Cons</t>
  </si>
  <si>
    <t>MST</t>
  </si>
  <si>
    <t>Section properties</t>
  </si>
  <si>
    <t>ULS</t>
  </si>
  <si>
    <t>FLS</t>
  </si>
  <si>
    <t>Es</t>
  </si>
  <si>
    <t>210000</t>
  </si>
  <si>
    <t>Joint</t>
  </si>
  <si>
    <t>Label</t>
  </si>
  <si>
    <t>X</t>
  </si>
  <si>
    <t>R</t>
  </si>
  <si>
    <t>ntop</t>
  </si>
  <si>
    <t>btop</t>
  </si>
  <si>
    <t>ttop</t>
  </si>
  <si>
    <t>bbot</t>
  </si>
  <si>
    <t>tbot</t>
  </si>
  <si>
    <t>cbot</t>
  </si>
  <si>
    <t>D</t>
  </si>
  <si>
    <t>tw</t>
  </si>
  <si>
    <t>S</t>
  </si>
  <si>
    <t>Hc</t>
  </si>
  <si>
    <t>ts</t>
  </si>
  <si>
    <t>th</t>
  </si>
  <si>
    <t>bh</t>
  </si>
  <si>
    <t>w</t>
  </si>
  <si>
    <t>bleft</t>
  </si>
  <si>
    <t>bright</t>
  </si>
  <si>
    <t>aleft</t>
  </si>
  <si>
    <t>aright</t>
  </si>
  <si>
    <t>Leff</t>
  </si>
  <si>
    <t>bs</t>
  </si>
  <si>
    <t>ns</t>
  </si>
  <si>
    <t>d0</t>
  </si>
  <si>
    <t>nsb</t>
  </si>
  <si>
    <t>tsb</t>
  </si>
  <si>
    <t>Hsb</t>
  </si>
  <si>
    <t>nst</t>
  </si>
  <si>
    <t>tst</t>
  </si>
  <si>
    <t>Hst</t>
  </si>
  <si>
    <t>Srb</t>
  </si>
  <si>
    <t>Srt</t>
  </si>
  <si>
    <t>Srbot</t>
  </si>
  <si>
    <t>Lb</t>
  </si>
  <si>
    <t>ds</t>
  </si>
  <si>
    <t>Fytop</t>
  </si>
  <si>
    <t>Fybot</t>
  </si>
  <si>
    <t>Fyw</t>
  </si>
  <si>
    <t>Sc_top</t>
  </si>
  <si>
    <t>Sc_bot</t>
  </si>
  <si>
    <t>YU</t>
  </si>
  <si>
    <t>YL</t>
  </si>
  <si>
    <t>Dc1</t>
  </si>
  <si>
    <t>T1</t>
  </si>
  <si>
    <t>T2</t>
  </si>
  <si>
    <t>T3</t>
  </si>
  <si>
    <t>Slender</t>
  </si>
  <si>
    <t>Dc</t>
  </si>
  <si>
    <t>S1</t>
  </si>
  <si>
    <t>S2</t>
  </si>
  <si>
    <t>S3</t>
  </si>
  <si>
    <t>M1</t>
  </si>
  <si>
    <t>M2</t>
  </si>
  <si>
    <t>M3</t>
  </si>
  <si>
    <t>Fyrtop</t>
  </si>
  <si>
    <t>Fyrbot</t>
  </si>
  <si>
    <t>PNA</t>
  </si>
  <si>
    <t>Ypna</t>
  </si>
  <si>
    <t>Mp</t>
  </si>
  <si>
    <t>M4</t>
  </si>
  <si>
    <t>Mw</t>
  </si>
  <si>
    <t>MLLmax</t>
  </si>
  <si>
    <t>MLLmin</t>
  </si>
  <si>
    <t>STsteel</t>
  </si>
  <si>
    <t>STbot</t>
  </si>
  <si>
    <t>STlongtime</t>
  </si>
  <si>
    <t>STshorttime</t>
  </si>
  <si>
    <t>SCsteel</t>
  </si>
  <si>
    <t>SCbot</t>
  </si>
  <si>
    <t>SClongtime</t>
  </si>
  <si>
    <t>SCshorttime</t>
  </si>
  <si>
    <t>Sbot1</t>
  </si>
  <si>
    <t>Sbot2</t>
  </si>
  <si>
    <t>Sdeck</t>
  </si>
  <si>
    <t>T4</t>
  </si>
  <si>
    <t>Tw</t>
  </si>
  <si>
    <t>TLLmax</t>
  </si>
  <si>
    <t>TLLmin</t>
  </si>
  <si>
    <t>Su_top</t>
  </si>
  <si>
    <t>Su_bot</t>
  </si>
  <si>
    <t>S4</t>
  </si>
  <si>
    <t>Sw</t>
  </si>
  <si>
    <t>SLLmax</t>
  </si>
  <si>
    <t>SLLmin</t>
  </si>
  <si>
    <t>Ss2_top</t>
  </si>
  <si>
    <t>Ss2_bot</t>
  </si>
  <si>
    <t>Srebar</t>
  </si>
  <si>
    <t>fDC_top</t>
  </si>
  <si>
    <t>fDC_bot</t>
  </si>
  <si>
    <t>Deltaf_top</t>
  </si>
  <si>
    <t>Deltaf_bot</t>
  </si>
  <si>
    <t>Vn</t>
  </si>
  <si>
    <t>SLLfmax</t>
  </si>
  <si>
    <t>SLLfmin</t>
  </si>
  <si>
    <t>fckd</t>
  </si>
  <si>
    <t>35</t>
  </si>
  <si>
    <t>Exterior Support</t>
  </si>
  <si>
    <t>8</t>
  </si>
  <si>
    <t>fckb</t>
  </si>
  <si>
    <t>50</t>
  </si>
  <si>
    <t>4</t>
  </si>
  <si>
    <t>Ecd</t>
  </si>
  <si>
    <t>35000</t>
  </si>
  <si>
    <t>Section Changed</t>
  </si>
  <si>
    <t>3</t>
  </si>
  <si>
    <t>Ecb</t>
  </si>
  <si>
    <t>36603.4174348284</t>
  </si>
  <si>
    <t>Fyrebar</t>
  </si>
  <si>
    <t>400</t>
  </si>
  <si>
    <t>K - Frame</t>
  </si>
  <si>
    <t>ADTT</t>
  </si>
  <si>
    <t>1500</t>
  </si>
  <si>
    <t>froms</t>
  </si>
  <si>
    <t>Cross Beam</t>
  </si>
  <si>
    <t>2</t>
  </si>
  <si>
    <t/>
  </si>
  <si>
    <t>Interior Support</t>
  </si>
  <si>
    <t>Sectional Checking</t>
  </si>
  <si>
    <t>7.1. Constructibility</t>
  </si>
  <si>
    <t>Lateral bending stress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</si>
  <si>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l</t>
    </r>
    <r xmlns="http://schemas.openxmlformats.org/spreadsheetml/2006/main">
      <rPr>
        <b/>
        <sz val="9"/>
        <rFont val="맑은 고딕"/>
        <family val="3"/>
        <charset val="129"/>
      </rPr>
      <t xml:space="preserve"> ≤ 0.6F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yf</t>
    </r>
  </si>
  <si>
    <t>강.설 4.3-108</t>
  </si>
  <si>
    <t>Compression flange</t>
  </si>
  <si>
    <t>Open-flange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</si>
  <si>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+f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 xml:space="preserve">l </t>
    </r>
    <r xmlns="http://schemas.openxmlformats.org/spreadsheetml/2006/main">
      <rPr>
        <b/>
        <sz val="9"/>
        <rFont val="맑은 고딕"/>
        <family val="3"/>
        <charset val="129"/>
      </rPr>
      <t>≤ 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R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yc</t>
    </r>
  </si>
  <si>
    <t>강.설 4.3-132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</si>
  <si>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+f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l</t>
    </r>
    <r xmlns="http://schemas.openxmlformats.org/spreadsheetml/2006/main">
      <rPr>
        <b/>
        <sz val="9"/>
        <rFont val="맑은 고딕"/>
        <family val="3"/>
        <charset val="129"/>
      </rPr>
      <t>/3 ≤ 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nc</t>
    </r>
  </si>
  <si>
    <t>강.설 4.3-133</t>
  </si>
  <si>
    <t>(for slender web)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</si>
  <si>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≤ 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crw</t>
    </r>
  </si>
  <si>
    <t>강.설 4.3-134</t>
  </si>
  <si>
    <t>Box-flange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</si>
  <si>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 ≤ 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nc</t>
    </r>
  </si>
  <si>
    <t>강.설 4.3-247</t>
  </si>
  <si>
    <t>강.설 4.3-248</t>
  </si>
  <si>
    <t>Tension flange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</si>
  <si>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+ 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l</t>
    </r>
    <r xmlns="http://schemas.openxmlformats.org/spreadsheetml/2006/main">
      <rPr>
        <b/>
        <sz val="9"/>
        <rFont val="맑은 고딕"/>
        <family val="3"/>
        <charset val="129"/>
      </rPr>
      <t xml:space="preserve"> ≤ 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R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yt</t>
    </r>
  </si>
  <si>
    <t>강.설 4.3-135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</si>
  <si>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≤ 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R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yf</t>
    </r>
    <r xmlns="http://schemas.openxmlformats.org/spreadsheetml/2006/main">
      <rPr>
        <b/>
        <sz val="9"/>
        <rFont val="맑은 고딕"/>
        <family val="3"/>
        <charset val="129"/>
      </rPr>
      <t>Δ</t>
    </r>
  </si>
  <si>
    <t>강.설 4.3-249</t>
  </si>
  <si>
    <r xmlns="http://schemas.openxmlformats.org/spreadsheetml/2006/main">
      <t>V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ui</t>
    </r>
    <r xmlns="http://schemas.openxmlformats.org/spreadsheetml/2006/main">
      <rPr>
        <b/>
        <sz val="9"/>
        <rFont val="맑은 고딕"/>
        <family val="3"/>
        <charset val="129"/>
      </rPr>
      <t xml:space="preserve"> ≤ 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v</t>
    </r>
    <r xmlns="http://schemas.openxmlformats.org/spreadsheetml/2006/main">
      <rPr>
        <b/>
        <sz val="9"/>
        <rFont val="맑은 고딕"/>
        <family val="3"/>
        <charset val="129"/>
      </rPr>
      <t>V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</t>
    </r>
  </si>
  <si>
    <t>강.설 4.3-137</t>
  </si>
  <si>
    <t>7.1.1. Flange Lateral bending stress</t>
  </si>
  <si>
    <t>강.설 4.3.3.1.1.6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</si>
  <si>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ℓ</t>
    </r>
    <r xmlns="http://schemas.openxmlformats.org/spreadsheetml/2006/main">
      <rPr>
        <b/>
        <sz val="9"/>
        <rFont val="맑은 고딕"/>
        <family val="3"/>
        <charset val="129"/>
      </rPr>
      <t xml:space="preserve"> ≤ 0.6F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yf</t>
    </r>
  </si>
  <si>
    <r xmlns="http://schemas.openxmlformats.org/spreadsheetml/2006/main">
      <t>Calcualation of 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ℓ</t>
    </r>
  </si>
  <si>
    <t>Case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</si>
  <si>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ℓ</t>
    </r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</si>
  <si>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 xml:space="preserve"> ≤ 1.2L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>√(C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 xml:space="preserve"> / f</t>
    </r>
    <r xmlns="http://schemas.openxmlformats.org/spreadsheetml/2006/main">
      <rPr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28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</si>
  <si>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ℓ1</t>
    </r>
    <phoneticPr xmlns="http://schemas.openxmlformats.org/spreadsheetml/2006/main" fontId="28" type="noConversion"/>
  </si>
  <si>
    <t>Otherwise</t>
  </si>
  <si>
    <r xmlns="http://schemas.openxmlformats.org/spreadsheetml/2006/main">
      <rPr>
        <sz val="9"/>
        <rFont val="Symbol"/>
        <family val="1"/>
        <charset val="2"/>
      </rPr>
      <t xml:space="preserve"> </t>
    </r>
    <r xmlns="http://schemas.openxmlformats.org/spreadsheetml/2006/main">
      <rPr>
        <sz val="9"/>
        <rFont val="맑은 고딕"/>
        <family val="3"/>
        <charset val="129"/>
      </rPr>
      <t>• f</t>
    </r>
    <r xmlns="http://schemas.openxmlformats.org/spreadsheetml/2006/main">
      <rPr>
        <vertAlign val="subscript"/>
        <sz val="9"/>
        <rFont val="맑은 고딕"/>
        <family val="3"/>
        <charset val="129"/>
      </rPr>
      <t>ℓ1</t>
    </r>
    <r xmlns="http://schemas.openxmlformats.org/spreadsheetml/2006/main">
      <rPr>
        <sz val="9"/>
        <rFont val="맑은 고딕"/>
        <family val="3"/>
        <charset val="129"/>
      </rPr>
      <t xml:space="preserve">  ≥  f</t>
    </r>
    <r xmlns="http://schemas.openxmlformats.org/spreadsheetml/2006/main">
      <rPr>
        <vertAlign val="subscript"/>
        <sz val="9"/>
        <rFont val="맑은 고딕"/>
        <family val="3"/>
        <charset val="129"/>
      </rPr>
      <t>ℓ1</t>
    </r>
  </si>
  <si>
    <r xmlns="http://schemas.openxmlformats.org/spreadsheetml/2006/main">
      <t>1-f</t>
    </r>
    <r xmlns="http://schemas.openxmlformats.org/spreadsheetml/2006/main">
      <rPr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cr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</si>
  <si>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ℓ1</t>
    </r>
  </si>
  <si>
    <t>여기서,</t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</si>
  <si>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</si>
  <si>
    <t>=</t>
  </si>
  <si>
    <t>비지지걸이</t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</si>
  <si>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</si>
  <si>
    <r xmlns="http://schemas.openxmlformats.org/spreadsheetml/2006/main">
      <t>1.0•r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•</t>
    </r>
    <r xmlns="http://schemas.openxmlformats.org/spreadsheetml/2006/main">
      <rPr>
        <sz val="9"/>
        <rFont val="Symbol"/>
        <family val="1"/>
        <charset val="2"/>
      </rPr>
      <t>Ö</t>
    </r>
    <r xmlns="http://schemas.openxmlformats.org/spreadsheetml/2006/main">
      <rPr>
        <sz val="9"/>
        <rFont val="맑은 고딕"/>
        <family val="3"/>
        <charset val="129"/>
      </rPr>
      <t>(E/F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</t>
    </r>
  </si>
  <si>
    <t>소성거동을 보장하는 비지지길이의 한계</t>
  </si>
  <si>
    <t>강.설 4.3.3.1.8.2(3)</t>
  </si>
  <si>
    <r xmlns="http://schemas.openxmlformats.org/spreadsheetml/2006/main">
      <t>C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</si>
  <si>
    <t>모멘트 보정계수, taken as 1.0</t>
  </si>
  <si>
    <r xmlns="http://schemas.openxmlformats.org/spreadsheetml/2006/main">
      <t>if f</t>
    </r>
    <r xmlns="http://schemas.openxmlformats.org/spreadsheetml/2006/main">
      <rPr>
        <vertAlign val="subscript"/>
        <sz val="9"/>
        <rFont val="맑은 고딕"/>
        <family val="3"/>
        <charset val="129"/>
      </rPr>
      <t>mid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&gt; 1</t>
    </r>
  </si>
  <si>
    <r xmlns="http://schemas.openxmlformats.org/spreadsheetml/2006/main">
      <t>If f</t>
    </r>
    <r xmlns="http://schemas.openxmlformats.org/spreadsheetml/2006/main">
      <rPr>
        <vertAlign val="sub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= 0</t>
    </r>
  </si>
  <si>
    <r xmlns="http://schemas.openxmlformats.org/spreadsheetml/2006/main">
      <t>1.75-1.05f</t>
    </r>
    <r xmlns="http://schemas.openxmlformats.org/spreadsheetml/2006/main">
      <rPr>
        <vertAlign val="subscript"/>
        <sz val="9"/>
        <rFont val="맑은 고딕"/>
        <family val="3"/>
        <charset val="129"/>
      </rPr>
      <t>1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+ 0.3(f</t>
    </r>
    <r xmlns="http://schemas.openxmlformats.org/spreadsheetml/2006/main">
      <rPr>
        <vertAlign val="subscript"/>
        <sz val="9"/>
        <rFont val="맑은 고딕"/>
        <family val="3"/>
        <charset val="129"/>
      </rPr>
      <t>1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£</t>
    </r>
    <r xmlns="http://schemas.openxmlformats.org/spreadsheetml/2006/main">
      <rPr>
        <sz val="9"/>
        <rFont val="맑은 고딕"/>
        <family val="3"/>
        <charset val="129"/>
      </rPr>
      <t xml:space="preserve"> 2.3</t>
    </r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</si>
  <si>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 xml:space="preserve"> </t>
    </r>
  </si>
  <si>
    <t>for constructibility (A.C.6.10.1.10.2)</t>
  </si>
  <si>
    <t>강.설 4.3.3.1.1.10(2)</t>
  </si>
  <si>
    <t>flange lateral bending stress throughout the unbraced length</t>
  </si>
  <si>
    <r xmlns="http://schemas.openxmlformats.org/spreadsheetml/2006/main">
      <t>(1.25M</t>
    </r>
    <r xmlns="http://schemas.openxmlformats.org/spreadsheetml/2006/main">
      <rPr>
        <vertAlign val="subscript"/>
        <sz val="9"/>
        <rFont val="맑은 고딕"/>
        <family val="3"/>
        <charset val="129"/>
      </rPr>
      <t>lw</t>
    </r>
    <r xmlns="http://schemas.openxmlformats.org/spreadsheetml/2006/main">
      <rPr>
        <sz val="9"/>
        <rFont val="맑은 고딕"/>
        <family val="3"/>
        <charset val="129"/>
      </rPr>
      <t xml:space="preserve"> + 1.25M</t>
    </r>
    <r xmlns="http://schemas.openxmlformats.org/spreadsheetml/2006/main">
      <rPr>
        <vertAlign val="subscript"/>
        <sz val="9"/>
        <rFont val="맑은 고딕"/>
        <family val="3"/>
        <charset val="129"/>
      </rPr>
      <t>lo</t>
    </r>
    <r xmlns="http://schemas.openxmlformats.org/spreadsheetml/2006/main">
      <rPr>
        <sz val="9"/>
        <rFont val="맑은 고딕"/>
        <family val="3"/>
        <charset val="129"/>
      </rPr>
      <t xml:space="preserve"> + 1.5M</t>
    </r>
    <r xmlns="http://schemas.openxmlformats.org/spreadsheetml/2006/main">
      <rPr>
        <vertAlign val="subscript"/>
        <sz val="9"/>
        <rFont val="맑은 고딕"/>
        <family val="3"/>
        <charset val="129"/>
      </rPr>
      <t>lf</t>
    </r>
    <r xmlns="http://schemas.openxmlformats.org/spreadsheetml/2006/main">
      <rPr>
        <sz val="9"/>
        <rFont val="맑은 고딕"/>
        <family val="3"/>
        <charset val="129"/>
      </rPr>
      <t xml:space="preserve"> + 1.5M</t>
    </r>
    <r xmlns="http://schemas.openxmlformats.org/spreadsheetml/2006/main">
      <rPr>
        <vertAlign val="subscript"/>
        <sz val="9"/>
        <rFont val="맑은 고딕"/>
        <family val="3"/>
        <charset val="129"/>
      </rPr>
      <t>lc</t>
    </r>
    <r xmlns="http://schemas.openxmlformats.org/spreadsheetml/2006/main">
      <rPr>
        <sz val="9"/>
        <rFont val="맑은 고딕"/>
        <family val="3"/>
        <charset val="129"/>
      </rPr>
      <t>) / S</t>
    </r>
    <r xmlns="http://schemas.openxmlformats.org/spreadsheetml/2006/main">
      <rPr>
        <vertAlign val="subscript"/>
        <sz val="9"/>
        <rFont val="맑은 고딕"/>
        <family val="3"/>
        <charset val="129"/>
      </rPr>
      <t>ℓ</t>
    </r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</si>
  <si>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lw</t>
    </r>
    <r xmlns="http://schemas.openxmlformats.org/spreadsheetml/2006/main">
      <rPr>
        <sz val="9"/>
        <rFont val="맑은 고딕"/>
        <family val="3"/>
        <charset val="129"/>
      </rPr>
      <t/>
    </r>
  </si>
  <si>
    <t>lateral bending moment due to horizontal component of web shear in web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</si>
  <si>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lo</t>
    </r>
  </si>
  <si>
    <t>lateral bending moment due to deck overhang wet concrete load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</si>
  <si>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lf</t>
    </r>
  </si>
  <si>
    <t>lateral bending moment due to deck overhang forms load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</si>
  <si>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lc</t>
    </r>
  </si>
  <si>
    <t>lateral bending moment due to curvature</t>
  </si>
  <si>
    <t xml:space="preserve">■ </t>
  </si>
  <si>
    <t>Moment due to horizontal component of web shear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</si>
  <si>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lw</t>
    </r>
    <r xmlns="http://schemas.openxmlformats.org/spreadsheetml/2006/main">
      <rPr>
        <sz val="9"/>
        <rFont val="맑은 고딕"/>
        <family val="3"/>
        <charset val="129"/>
      </rPr>
      <t xml:space="preserve"> = w∙L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/12</t>
    </r>
  </si>
  <si>
    <r xmlns="http://schemas.openxmlformats.org/spreadsheetml/2006/main">
      <t>w = V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= </t>
    </r>
    <r xmlns="http://schemas.openxmlformats.org/spreadsheetml/2006/main">
      <rPr>
        <sz val="9"/>
        <rFont val="Calibri"/>
        <family val="3"/>
        <charset val="161"/>
      </rPr>
      <t>Δ</t>
    </r>
    <r xmlns="http://schemas.openxmlformats.org/spreadsheetml/2006/main">
      <rPr>
        <vertAlign val="subscript"/>
        <sz val="9"/>
        <rFont val="맑은 고딕"/>
        <family val="3"/>
        <charset val="129"/>
      </rPr>
      <t>v</t>
    </r>
    <r xmlns="http://schemas.openxmlformats.org/spreadsheetml/2006/main">
      <rPr>
        <sz val="9"/>
        <rFont val="맑은 고딕"/>
        <family val="3"/>
        <charset val="129"/>
      </rPr>
      <t>∙tan</t>
    </r>
    <r xmlns="http://schemas.openxmlformats.org/spreadsheetml/2006/main">
      <rPr>
        <sz val="9"/>
        <rFont val="Calibri"/>
        <family val="3"/>
        <charset val="161"/>
      </rPr>
      <t>θ</t>
    </r>
  </si>
  <si>
    <r xmlns="http://schemas.openxmlformats.org/spreadsheetml/2006/main">
      <rPr>
        <sz val="9"/>
        <rFont val="Calibri"/>
        <family val="3"/>
        <charset val="161"/>
      </rPr>
      <t>Δ</t>
    </r>
    <r xmlns="http://schemas.openxmlformats.org/spreadsheetml/2006/main">
      <rPr>
        <sz val="9"/>
        <rFont val="맑은 고딕"/>
        <family val="3"/>
        <charset val="129"/>
      </rPr>
      <t>v = [</t>
    </r>
    <r xmlns="http://schemas.openxmlformats.org/spreadsheetml/2006/main">
      <rPr>
        <sz val="9"/>
        <rFont val="Calibri"/>
        <family val="3"/>
      </rPr>
      <t>A1</t>
    </r>
    <r xmlns="http://schemas.openxmlformats.org/spreadsheetml/2006/main">
      <rPr>
        <sz val="9"/>
        <rFont val="맑은 고딕"/>
        <family val="3"/>
        <charset val="129"/>
      </rPr>
      <t>•75kN/m</t>
    </r>
    <r xmlns="http://schemas.openxmlformats.org/spreadsheetml/2006/main">
      <rPr>
        <vertAlign val="superscript"/>
        <sz val="9"/>
        <rFont val="맑은 고딕"/>
        <family val="3"/>
        <charset val="129"/>
      </rPr>
      <t>3</t>
    </r>
    <r xmlns="http://schemas.openxmlformats.org/spreadsheetml/2006/main">
      <rPr>
        <sz val="9"/>
        <rFont val="맑은 고딕"/>
        <family val="3"/>
        <charset val="129"/>
      </rPr>
      <t xml:space="preserve"> + (</t>
    </r>
    <r xmlns="http://schemas.openxmlformats.org/spreadsheetml/2006/main">
      <rPr>
        <sz val="9"/>
        <rFont val="Calibri"/>
        <family val="3"/>
      </rPr>
      <t>A</t>
    </r>
    <r xmlns="http://schemas.openxmlformats.org/spreadsheetml/2006/main">
      <rPr>
        <vertAlign val="subscript"/>
        <sz val="9"/>
        <rFont val="Calibri"/>
        <family val="2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</t>
    </r>
    <r xmlns="http://schemas.openxmlformats.org/spreadsheetml/2006/main">
      <rPr>
        <sz val="9"/>
        <rFont val="Calibri"/>
        <family val="3"/>
      </rPr>
      <t>A</t>
    </r>
    <r xmlns="http://schemas.openxmlformats.org/spreadsheetml/2006/main">
      <rPr>
        <vertAlign val="subscript"/>
        <sz val="9"/>
        <rFont val="Calibri"/>
        <family val="2"/>
      </rPr>
      <t>s</t>
    </r>
    <r xmlns="http://schemas.openxmlformats.org/spreadsheetml/2006/main">
      <rPr>
        <sz val="9"/>
        <rFont val="맑은 고딕"/>
        <family val="3"/>
        <charset val="129"/>
      </rPr>
      <t>)•25kN/m</t>
    </r>
    <r xmlns="http://schemas.openxmlformats.org/spreadsheetml/2006/main">
      <rPr>
        <vertAlign val="superscript"/>
        <sz val="9"/>
        <rFont val="맑은 고딕"/>
        <family val="3"/>
        <charset val="129"/>
      </rPr>
      <t>3</t>
    </r>
    <r xmlns="http://schemas.openxmlformats.org/spreadsheetml/2006/main">
      <rPr>
        <sz val="9"/>
        <rFont val="맑은 고딕"/>
        <family val="3"/>
        <charset val="129"/>
      </rPr>
      <t>]/2</t>
    </r>
  </si>
  <si>
    <r xmlns="http://schemas.openxmlformats.org/spreadsheetml/2006/main">
      <t>A1, A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, A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= sectional area of steel girder, bottom concrete and deck slab</t>
    </r>
  </si>
  <si>
    <t>Moment due to overhang wet concrete loading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</si>
  <si>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lo</t>
    </r>
    <r xmlns="http://schemas.openxmlformats.org/spreadsheetml/2006/main">
      <rPr>
        <sz val="9"/>
        <rFont val="맑은 고딕"/>
        <family val="3"/>
        <charset val="129"/>
      </rPr>
      <t xml:space="preserve"> = w∙L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/12</t>
    </r>
  </si>
  <si>
    <r xmlns="http://schemas.openxmlformats.org/spreadsheetml/2006/main">
      <t>w = F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= 0.5∙F</t>
    </r>
    <r xmlns="http://schemas.openxmlformats.org/spreadsheetml/2006/main">
      <rPr>
        <vertAlign val="subscript"/>
        <sz val="9"/>
        <rFont val="맑은 고딕"/>
        <family val="3"/>
        <charset val="129"/>
      </rPr>
      <t>con</t>
    </r>
    <r xmlns="http://schemas.openxmlformats.org/spreadsheetml/2006/main">
      <rPr>
        <sz val="9"/>
        <rFont val="맑은 고딕"/>
        <family val="3"/>
        <charset val="129"/>
      </rPr>
      <t>/tanα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</si>
  <si>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con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•b•25kN/m</t>
    </r>
    <r xmlns="http://schemas.openxmlformats.org/spreadsheetml/2006/main">
      <rPr>
        <vertAlign val="superscript"/>
        <sz val="9"/>
        <rFont val="맑은 고딕"/>
        <family val="3"/>
        <charset val="129"/>
      </rPr>
      <t>3</t>
    </r>
  </si>
  <si>
    <t>b, ts = cantilever and thickness of deck slab</t>
  </si>
  <si>
    <t>Moment due to overhang form loads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</si>
  <si>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lf</t>
    </r>
    <r xmlns="http://schemas.openxmlformats.org/spreadsheetml/2006/main">
      <rPr>
        <sz val="9"/>
        <rFont val="맑은 고딕"/>
        <family val="3"/>
        <charset val="129"/>
      </rPr>
      <t xml:space="preserve"> = w∙L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/12</t>
    </r>
  </si>
  <si>
    <r xmlns="http://schemas.openxmlformats.org/spreadsheetml/2006/main">
      <t>w = 0.5∙F</t>
    </r>
    <r xmlns="http://schemas.openxmlformats.org/spreadsheetml/2006/main">
      <rPr>
        <vertAlign val="subscript"/>
        <sz val="9"/>
        <rFont val="맑은 고딕"/>
        <family val="3"/>
        <charset val="129"/>
      </rPr>
      <t>forms</t>
    </r>
    <r xmlns="http://schemas.openxmlformats.org/spreadsheetml/2006/main">
      <rPr>
        <sz val="9"/>
        <rFont val="맑은 고딕"/>
        <family val="3"/>
        <charset val="129"/>
      </rPr>
      <t>/tanα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</si>
  <si>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forms</t>
    </r>
    <r xmlns="http://schemas.openxmlformats.org/spreadsheetml/2006/main">
      <rPr>
        <sz val="9"/>
        <rFont val="맑은 고딕"/>
        <family val="3"/>
        <charset val="129"/>
      </rPr>
      <t xml:space="preserve"> = </t>
    </r>
  </si>
  <si>
    <t>kN/m (assumed)</t>
  </si>
  <si>
    <t>Moment due to curvature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</si>
  <si>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lc</t>
    </r>
    <r xmlns="http://schemas.openxmlformats.org/spreadsheetml/2006/main">
      <rPr>
        <sz val="9"/>
        <rFont val="맑은 고딕"/>
        <family val="3"/>
        <charset val="129"/>
      </rPr>
      <t xml:space="preserve"> = ML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/(NRD)</t>
    </r>
  </si>
  <si>
    <t>N - a constant taken as 12, R - girder radius, D - web depth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</si>
  <si>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cr</t>
    </r>
  </si>
  <si>
    <r xmlns="http://schemas.openxmlformats.org/spreadsheetml/2006/main">
      <t>C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π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E</t>
    </r>
  </si>
  <si>
    <r xmlns="http://schemas.openxmlformats.org/spreadsheetml/2006/main">
      <t>(L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/r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</si>
  <si>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</si>
  <si>
    <r xmlns="http://schemas.openxmlformats.org/spreadsheetml/2006/main">
      <t>b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</si>
  <si>
    <r xmlns="http://schemas.openxmlformats.org/spreadsheetml/2006/main">
      <t>√(12(1 + 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/3/b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sz val="9"/>
        <rFont val="맑은 고딕"/>
        <family val="3"/>
        <charset val="129"/>
      </rPr>
      <t>/t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sz val="9"/>
        <rFont val="맑은 고딕"/>
        <family val="3"/>
        <charset val="129"/>
      </rPr>
      <t>))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</si>
  <si>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bu</t>
    </r>
  </si>
  <si>
    <t>largest values of compressive stress in the flange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</si>
  <si>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</si>
  <si>
    <t>deep of web in compression in elastic range</t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</si>
  <si>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맑은 고딕"/>
        <family val="3"/>
        <charset val="129"/>
      </rPr>
      <t>l</t>
    </r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</si>
  <si>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top</t>
    </r>
    <r xmlns="http://schemas.openxmlformats.org/spreadsheetml/2006/main">
      <rPr>
        <sz val="9"/>
        <rFont val="맑은 고딕"/>
        <family val="3"/>
        <charset val="129"/>
      </rPr>
      <t>b</t>
    </r>
    <r xmlns="http://schemas.openxmlformats.org/spreadsheetml/2006/main">
      <rPr>
        <vertAlign val="subscript"/>
        <sz val="9"/>
        <rFont val="맑은 고딕"/>
        <family val="3"/>
        <charset val="129"/>
      </rPr>
      <t>top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/6</t>
    </r>
  </si>
  <si>
    <t>section modulus of top flange about a vertical axis through the web</t>
  </si>
  <si>
    <t>Table 7.1.1. Calculation of flange lateral bending moments</t>
  </si>
  <si>
    <t>Node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</si>
  <si>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Lw</t>
    </r>
    <r xmlns="http://schemas.openxmlformats.org/spreadsheetml/2006/main">
      <rPr>
        <sz val="9"/>
        <rFont val="맑은 고딕"/>
        <family val="3"/>
        <charset val="129"/>
      </rPr>
      <t xml:space="preserve"> 산정</t>
    </r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</si>
  <si>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lo</t>
    </r>
    <r xmlns="http://schemas.openxmlformats.org/spreadsheetml/2006/main">
      <rPr>
        <sz val="9"/>
        <rFont val="맑은 고딕"/>
        <family val="3"/>
        <charset val="129"/>
      </rPr>
      <t xml:space="preserve"> 산정</t>
    </r>
  </si>
  <si>
    <t>A1</t>
  </si>
  <si>
    <t>Ac</t>
  </si>
  <si>
    <t>As</t>
  </si>
  <si>
    <t>ΔV</t>
  </si>
  <si>
    <t>tanθ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</si>
  <si>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Lw</t>
    </r>
  </si>
  <si>
    <t>tanα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</si>
  <si>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con</t>
    </r>
  </si>
  <si>
    <t>Table 7.1.2. Checking flange lateral bending stress</t>
  </si>
  <si>
    <t>정/부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</si>
  <si>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l1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</si>
  <si>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l</t>
    </r>
  </si>
  <si>
    <r xmlns="http://schemas.openxmlformats.org/spreadsheetml/2006/main">
      <t>0.6F</t>
    </r>
    <r xmlns="http://schemas.openxmlformats.org/spreadsheetml/2006/main">
      <rPr>
        <vertAlign val="subscript"/>
        <sz val="9"/>
        <rFont val="맑은 고딕"/>
        <family val="3"/>
        <charset val="129"/>
      </rPr>
      <t>y</t>
    </r>
  </si>
  <si>
    <t>검토</t>
  </si>
  <si>
    <t>Ratio</t>
  </si>
  <si>
    <t>상연</t>
  </si>
  <si>
    <t>하연</t>
  </si>
  <si>
    <t>모멘트</t>
  </si>
  <si>
    <t>7.1.2. Flange Lateral bending stress</t>
  </si>
  <si>
    <t>1) 플랜지 응력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</si>
  <si>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bu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  = </t>
    </r>
    <phoneticPr xmlns="http://schemas.openxmlformats.org/spreadsheetml/2006/main" fontId="31" type="noConversion"/>
  </si>
  <si>
    <t>1.25•(DC1 + DC2)</t>
  </si>
  <si>
    <t>+</t>
  </si>
  <si>
    <t>1.25•DC3</t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</si>
  <si>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steel</t>
    </r>
    <phoneticPr xmlns="http://schemas.openxmlformats.org/spreadsheetml/2006/main" fontId="31" type="noConversion"/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</si>
  <si>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bot_con</t>
    </r>
    <phoneticPr xmlns="http://schemas.openxmlformats.org/spreadsheetml/2006/main" fontId="31" type="noConversion"/>
  </si>
  <si>
    <r xmlns="http://schemas.openxmlformats.org/spreadsheetml/2006/main">
      <t>Φ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>, Φ</t>
    </r>
    <r xmlns="http://schemas.openxmlformats.org/spreadsheetml/2006/main">
      <rPr>
        <vertAlign val="subscript"/>
        <sz val="9"/>
        <rFont val="맑은 고딕"/>
        <family val="3"/>
        <charset val="129"/>
      </rPr>
      <t>v</t>
    </r>
    <r xmlns="http://schemas.openxmlformats.org/spreadsheetml/2006/main">
      <rPr>
        <sz val="9"/>
        <rFont val="맑은 고딕"/>
        <family val="3"/>
        <charset val="129"/>
      </rPr>
      <t xml:space="preserve"> = 1.0: 휨, 전단에 대한 강도저항계수</t>
    </r>
    <phoneticPr xmlns="http://schemas.openxmlformats.org/spreadsheetml/2006/main" fontId="31" type="noConversion"/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</si>
  <si>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h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 = 하이브리드 계수</t>
    </r>
    <phoneticPr xmlns="http://schemas.openxmlformats.org/spreadsheetml/2006/main" fontId="31" type="noConversion"/>
  </si>
  <si>
    <t>강.설 4.3.3.1.1.10(1)</t>
  </si>
  <si>
    <r xmlns="http://schemas.openxmlformats.org/spreadsheetml/2006/main">
      <t>R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h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</si>
  <si>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 xml:space="preserve"> ≥ F</t>
    </r>
    <r xmlns="http://schemas.openxmlformats.org/spreadsheetml/2006/main">
      <rPr>
        <vertAlign val="subscript"/>
        <sz val="9"/>
        <rFont val="맑은 고딕"/>
        <family val="3"/>
        <charset val="129"/>
      </rPr>
      <t>yf</t>
    </r>
    <phoneticPr xmlns="http://schemas.openxmlformats.org/spreadsheetml/2006/main" fontId="31" type="noConversion"/>
  </si>
  <si>
    <r xmlns="http://schemas.openxmlformats.org/spreadsheetml/2006/main">
      <t>[12+β(3ρ  -ρ</t>
    </r>
    <r xmlns="http://schemas.openxmlformats.org/spreadsheetml/2006/main">
      <rPr>
        <vertAlign val="superscript"/>
        <sz val="9"/>
        <rFont val="맑은 고딕"/>
        <family val="3"/>
        <charset val="129"/>
      </rPr>
      <t>3</t>
    </r>
    <r xmlns="http://schemas.openxmlformats.org/spreadsheetml/2006/main">
      <rPr>
        <sz val="9"/>
        <rFont val="맑은 고딕"/>
        <family val="3"/>
        <charset val="129"/>
      </rPr>
      <t>)]/(12 + 2β)</t>
    </r>
    <phoneticPr xmlns="http://schemas.openxmlformats.org/spreadsheetml/2006/main" fontId="31" type="noConversion"/>
  </si>
  <si>
    <r xmlns="http://schemas.openxmlformats.org/spreadsheetml/2006/main">
      <rPr>
        <sz val="9"/>
        <rFont val="Calibri"/>
        <family val="3"/>
        <charset val="161"/>
      </rPr>
      <t>ρ</t>
    </r>
    <r xmlns="http://schemas.openxmlformats.org/spreadsheetml/2006/main">
      <rPr>
        <sz val="9"/>
        <rFont val="맑은 고딕"/>
        <family val="3"/>
        <charset val="129"/>
      </rPr>
      <t xml:space="preserve"> = min(F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; 1.0)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</si>
  <si>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= max(F</t>
    </r>
    <r xmlns="http://schemas.openxmlformats.org/spreadsheetml/2006/main">
      <rPr>
        <vertAlign val="subscript"/>
        <sz val="9"/>
        <rFont val="맑은 고딕"/>
        <family val="3"/>
        <charset val="129"/>
      </rPr>
      <t>yf</t>
    </r>
    <r xmlns="http://schemas.openxmlformats.org/spreadsheetml/2006/main">
      <rPr>
        <sz val="9"/>
        <rFont val="맑은 고딕"/>
        <family val="3"/>
        <charset val="129"/>
      </rPr>
      <t>, f</t>
    </r>
    <r xmlns="http://schemas.openxmlformats.org/spreadsheetml/2006/main">
      <rPr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</si>
  <si>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rPr>
        <sz val="9"/>
        <rFont val="Calibri"/>
        <family val="3"/>
        <charset val="161"/>
      </rPr>
      <t>β</t>
    </r>
    <r xmlns="http://schemas.openxmlformats.org/spreadsheetml/2006/main">
      <rPr>
        <sz val="9"/>
        <rFont val="맑은 고딕"/>
        <family val="3"/>
        <charset val="129"/>
      </rPr>
      <t xml:space="preserve"> = 2D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/A</t>
    </r>
    <r xmlns="http://schemas.openxmlformats.org/spreadsheetml/2006/main">
      <rPr>
        <vertAlign val="subscript"/>
        <sz val="9"/>
        <rFont val="맑은 고딕"/>
        <family val="3"/>
        <charset val="129"/>
      </rPr>
      <t>fn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</si>
  <si>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= 단면의 탄성중립축으로 부터 양플린지 안쪽 면까지의 거리 중 큰값</t>
    </r>
    <phoneticPr xmlns="http://schemas.openxmlformats.org/spreadsheetml/2006/main" fontId="28" type="noConversion"/>
  </si>
  <si>
    <r xmlns="http://schemas.openxmlformats.org/spreadsheetml/2006/main"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fn</t>
    </r>
    <r xmlns="http://schemas.openxmlformats.org/spreadsheetml/2006/main">
      <rPr>
        <sz val="9"/>
        <rFont val="맑은 고딕"/>
        <family val="3"/>
        <charset val="129"/>
      </rPr>
      <t xml:space="preserve"> = 플랜지 단면적과 D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방향에 위치한 플랜지 덮개판 면적의 합</t>
    </r>
    <phoneticPr xmlns="http://schemas.openxmlformats.org/spreadsheetml/2006/main" fontId="31" type="noConversion"/>
  </si>
  <si>
    <r xmlns="http://schemas.openxmlformats.org/spreadsheetml/2006/main">
      <t>2) 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b/>
        <sz val="9"/>
        <rFont val="맑은 고딕"/>
        <family val="3"/>
        <charset val="129"/>
      </rPr>
      <t xml:space="preserve"> 산정 (Nominal flexural resistance of compression flange)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</si>
  <si>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nc</t>
    </r>
  </si>
  <si>
    <t>Open flange (OF)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</si>
  <si>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sz val="9"/>
        <rFont val="맑은 고딕"/>
        <family val="3"/>
        <charset val="129"/>
      </rPr>
      <t xml:space="preserve"> = Min (F</t>
    </r>
    <r xmlns="http://schemas.openxmlformats.org/spreadsheetml/2006/main">
      <rPr>
        <vertAlign val="subscript"/>
        <sz val="9"/>
        <rFont val="맑은 고딕"/>
        <family val="3"/>
        <charset val="129"/>
      </rPr>
      <t>nc_LB</t>
    </r>
    <r xmlns="http://schemas.openxmlformats.org/spreadsheetml/2006/main">
      <rPr>
        <sz val="9"/>
        <rFont val="맑은 고딕"/>
        <family val="3"/>
        <charset val="129"/>
      </rPr>
      <t xml:space="preserve"> , F</t>
    </r>
    <r xmlns="http://schemas.openxmlformats.org/spreadsheetml/2006/main">
      <rPr>
        <vertAlign val="subscript"/>
        <sz val="9"/>
        <rFont val="맑은 고딕"/>
        <family val="3"/>
        <charset val="129"/>
      </rPr>
      <t>nc_LTB</t>
    </r>
    <r xmlns="http://schemas.openxmlformats.org/spreadsheetml/2006/main">
      <rPr>
        <sz val="9"/>
        <rFont val="맑은 고딕"/>
        <family val="3"/>
        <charset val="129"/>
      </rPr>
      <t>)</t>
    </r>
  </si>
  <si>
    <t>강.설 4.3.3.1.8.2</t>
  </si>
  <si>
    <t>Box flange (BF)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</si>
  <si>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sz val="9"/>
        <rFont val="맑은 고딕"/>
        <family val="3"/>
        <charset val="129"/>
      </rPr>
      <t xml:space="preserve"> = F</t>
    </r>
    <r xmlns="http://schemas.openxmlformats.org/spreadsheetml/2006/main">
      <rPr>
        <vertAlign val="subscript"/>
        <sz val="9"/>
        <rFont val="맑은 고딕"/>
        <family val="3"/>
        <charset val="129"/>
      </rPr>
      <t>cb</t>
    </r>
    <r xmlns="http://schemas.openxmlformats.org/spreadsheetml/2006/main">
      <rPr>
        <sz val="9"/>
        <rFont val="맑은 고딕"/>
        <family val="3"/>
        <charset val="129"/>
      </rPr>
      <t>√[(1 - (f</t>
    </r>
    <r xmlns="http://schemas.openxmlformats.org/spreadsheetml/2006/main">
      <rPr>
        <vertAlign val="subscript"/>
        <sz val="9"/>
        <rFont val="맑은 고딕"/>
        <family val="3"/>
        <charset val="129"/>
      </rPr>
      <t>v</t>
    </r>
    <r xmlns="http://schemas.openxmlformats.org/spreadsheetml/2006/main">
      <rPr>
        <sz val="9"/>
        <rFont val="맑은 고딕"/>
        <family val="3"/>
        <charset val="129"/>
      </rPr>
      <t xml:space="preserve"> / </t>
    </r>
    <r xmlns="http://schemas.openxmlformats.org/spreadsheetml/2006/main">
      <rPr>
        <sz val="9"/>
        <rFont val="Calibri"/>
        <family val="3"/>
        <charset val="161"/>
      </rPr>
      <t>Φ</t>
    </r>
    <r xmlns="http://schemas.openxmlformats.org/spreadsheetml/2006/main">
      <rPr>
        <vertAlign val="subscript"/>
        <sz val="9"/>
        <rFont val="맑은 고딕"/>
        <family val="3"/>
        <charset val="129"/>
      </rPr>
      <t>v</t>
    </r>
    <r xmlns="http://schemas.openxmlformats.org/spreadsheetml/2006/main">
      <rPr>
        <sz val="9"/>
        <rFont val="맑은 고딕"/>
        <family val="3"/>
        <charset val="129"/>
      </rPr>
      <t xml:space="preserve"> / F</t>
    </r>
    <r xmlns="http://schemas.openxmlformats.org/spreadsheetml/2006/main">
      <rPr>
        <vertAlign val="subscript"/>
        <sz val="9"/>
        <rFont val="맑은 고딕"/>
        <family val="3"/>
        <charset val="129"/>
      </rPr>
      <t>cv</t>
    </r>
    <r xmlns="http://schemas.openxmlformats.org/spreadsheetml/2006/main">
      <rPr>
        <sz val="9"/>
        <rFont val="맑은 고딕"/>
        <family val="3"/>
        <charset val="129"/>
      </rPr>
      <t>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</t>
    </r>
    <phoneticPr xmlns="http://schemas.openxmlformats.org/spreadsheetml/2006/main" fontId="28" type="noConversion"/>
  </si>
  <si>
    <t>강.설 4.3.3.2.8.2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</si>
  <si>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nc_LB</t>
    </r>
    <r xmlns="http://schemas.openxmlformats.org/spreadsheetml/2006/main">
      <rPr>
        <sz val="9"/>
        <rFont val="맑은 고딕"/>
        <family val="3"/>
        <charset val="129"/>
      </rPr>
      <t xml:space="preserve"> (국부좌굴강도) 산정</t>
    </r>
    <phoneticPr xmlns="http://schemas.openxmlformats.org/spreadsheetml/2006/main" fontId="31" type="noConversion"/>
  </si>
  <si>
    <t>강.설 4.3.3.1.8.2(2)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</si>
  <si>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nc_LB</t>
    </r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</si>
  <si>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f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 ≤ λ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pf</t>
    </r>
    <phoneticPr xmlns="http://schemas.openxmlformats.org/spreadsheetml/2006/main" fontId="28" type="noConversion"/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</si>
  <si>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</si>
  <si>
    <r xmlns="http://schemas.openxmlformats.org/spreadsheetml/2006/main">
      <t>[1 - (1 - F</t>
    </r>
    <r xmlns="http://schemas.openxmlformats.org/spreadsheetml/2006/main">
      <rPr>
        <vertAlign val="subscript"/>
        <sz val="9"/>
        <rFont val="맑은 고딕"/>
        <family val="3"/>
        <charset val="129"/>
      </rPr>
      <t>yr</t>
    </r>
    <r xmlns="http://schemas.openxmlformats.org/spreadsheetml/2006/main">
      <rPr>
        <sz val="9"/>
        <rFont val="맑은 고딕"/>
        <family val="3"/>
        <charset val="129"/>
      </rPr>
      <t>/R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 (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f </t>
    </r>
    <r xmlns="http://schemas.openxmlformats.org/spreadsheetml/2006/main">
      <rPr>
        <sz val="9"/>
        <rFont val="맑은 고딕"/>
        <family val="3"/>
        <charset val="129"/>
      </rPr>
      <t xml:space="preserve">- 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pf</t>
    </r>
    <r xmlns="http://schemas.openxmlformats.org/spreadsheetml/2006/main">
      <rPr>
        <sz val="9"/>
        <rFont val="맑은 고딕"/>
        <family val="3"/>
        <charset val="129"/>
      </rPr>
      <t>)/(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rf </t>
    </r>
    <r xmlns="http://schemas.openxmlformats.org/spreadsheetml/2006/main">
      <rPr>
        <sz val="9"/>
        <rFont val="맑은 고딕"/>
        <family val="3"/>
        <charset val="129"/>
      </rPr>
      <t xml:space="preserve">- 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pf</t>
    </r>
    <r xmlns="http://schemas.openxmlformats.org/spreadsheetml/2006/main">
      <rPr>
        <sz val="9"/>
        <rFont val="맑은 고딕"/>
        <family val="3"/>
        <charset val="129"/>
      </rPr>
      <t>)] 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phoneticPr xmlns="http://schemas.openxmlformats.org/spreadsheetml/2006/main" fontId="28" type="noConversion"/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</si>
  <si>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 xml:space="preserve"> = 1.0 for checking constructibility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</si>
  <si>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yr</t>
    </r>
    <r xmlns="http://schemas.openxmlformats.org/spreadsheetml/2006/main">
      <rPr>
        <sz val="9"/>
        <rFont val="맑은 고딕"/>
        <family val="3"/>
        <charset val="129"/>
      </rPr>
      <t xml:space="preserve"> = max [min (0.7F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 xml:space="preserve"> , 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)] , 0.5F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 xml:space="preserve">] </t>
    </r>
    <phoneticPr xmlns="http://schemas.openxmlformats.org/spreadsheetml/2006/main" fontId="31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</si>
  <si>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= b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sz val="9"/>
        <rFont val="맑은 고딕"/>
        <family val="3"/>
        <charset val="129"/>
      </rPr>
      <t>/2t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phoneticPr xmlns="http://schemas.openxmlformats.org/spreadsheetml/2006/main" fontId="31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</si>
  <si>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pf</t>
    </r>
    <r xmlns="http://schemas.openxmlformats.org/spreadsheetml/2006/main">
      <rPr>
        <sz val="9"/>
        <rFont val="맑은 고딕"/>
        <family val="3"/>
        <charset val="129"/>
      </rPr>
      <t xml:space="preserve"> = 0.38√(E/F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</si>
  <si>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rf</t>
    </r>
    <r xmlns="http://schemas.openxmlformats.org/spreadsheetml/2006/main">
      <rPr>
        <sz val="9"/>
        <rFont val="맑은 고딕"/>
        <family val="3"/>
        <charset val="129"/>
      </rPr>
      <t xml:space="preserve"> = 0.56√(E/F</t>
    </r>
    <r xmlns="http://schemas.openxmlformats.org/spreadsheetml/2006/main">
      <rPr>
        <vertAlign val="subscript"/>
        <sz val="9"/>
        <rFont val="맑은 고딕"/>
        <family val="3"/>
        <charset val="129"/>
      </rPr>
      <t>yr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</si>
  <si>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nc_LTB</t>
    </r>
    <r xmlns="http://schemas.openxmlformats.org/spreadsheetml/2006/main">
      <rPr>
        <sz val="9"/>
        <rFont val="맑은 고딕"/>
        <family val="3"/>
        <charset val="129"/>
      </rPr>
      <t xml:space="preserve"> (횡비틀림좌굴강도) 산정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</si>
  <si>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nc_LTB</t>
    </r>
    <phoneticPr xmlns="http://schemas.openxmlformats.org/spreadsheetml/2006/main" fontId="31" type="noConversion"/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</si>
  <si>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 xml:space="preserve"> ≤ L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phoneticPr xmlns="http://schemas.openxmlformats.org/spreadsheetml/2006/main" fontId="28" type="noConversion"/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</si>
  <si>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&lt; 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 xml:space="preserve"> ≤ L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28" type="noConversion"/>
  </si>
  <si>
    <r xmlns="http://schemas.openxmlformats.org/spreadsheetml/2006/main">
      <t>C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[1 - (1-F</t>
    </r>
    <r xmlns="http://schemas.openxmlformats.org/spreadsheetml/2006/main">
      <rPr>
        <vertAlign val="subscript"/>
        <sz val="9"/>
        <rFont val="맑은 고딕"/>
        <family val="3"/>
        <charset val="129"/>
      </rPr>
      <t>yr</t>
    </r>
    <r xmlns="http://schemas.openxmlformats.org/spreadsheetml/2006/main">
      <rPr>
        <sz val="9"/>
        <rFont val="맑은 고딕"/>
        <family val="3"/>
        <charset val="129"/>
      </rPr>
      <t>/R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 (L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-L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>)/(L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>-L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>)] 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yc </t>
    </r>
    <r xmlns="http://schemas.openxmlformats.org/spreadsheetml/2006/main">
      <rPr>
        <sz val="9"/>
        <rFont val="맑은 고딕"/>
        <family val="3"/>
        <charset val="129"/>
      </rPr>
      <t>≤ 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phoneticPr xmlns="http://schemas.openxmlformats.org/spreadsheetml/2006/main" fontId="28" type="noConversion"/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</si>
  <si>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 xml:space="preserve"> &gt; L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28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</si>
  <si>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cr</t>
    </r>
    <r xmlns="http://schemas.openxmlformats.org/spreadsheetml/2006/main">
      <rPr>
        <sz val="9"/>
        <rFont val="맑은 고딕"/>
        <family val="3"/>
        <charset val="129"/>
      </rPr>
      <t xml:space="preserve"> ≤ 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phoneticPr xmlns="http://schemas.openxmlformats.org/spreadsheetml/2006/main" fontId="31" type="noConversion"/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</si>
  <si>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 xml:space="preserve"> = unbraced length</t>
    </r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</si>
  <si>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= 1.0r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√(E/F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</si>
  <si>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cr</t>
    </r>
    <r xmlns="http://schemas.openxmlformats.org/spreadsheetml/2006/main">
      <rPr>
        <sz val="9"/>
        <rFont val="맑은 고딕"/>
        <family val="3"/>
        <charset val="129"/>
      </rPr>
      <t xml:space="preserve"> = </t>
    </r>
    <phoneticPr xmlns="http://schemas.openxmlformats.org/spreadsheetml/2006/main" fontId="28" type="noConversion"/>
  </si>
  <si>
    <r xmlns="http://schemas.openxmlformats.org/spreadsheetml/2006/main">
      <t>C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Calibri"/>
        <family val="3"/>
        <charset val="161"/>
      </rPr>
      <t>π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E</t>
    </r>
    <phoneticPr xmlns="http://schemas.openxmlformats.org/spreadsheetml/2006/main" fontId="28" type="noConversion"/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</si>
  <si>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= πr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√(E/F</t>
    </r>
    <r xmlns="http://schemas.openxmlformats.org/spreadsheetml/2006/main">
      <rPr>
        <vertAlign val="subscript"/>
        <sz val="9"/>
        <rFont val="맑은 고딕"/>
        <family val="3"/>
        <charset val="129"/>
      </rPr>
      <t>yr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</si>
  <si>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(L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 xml:space="preserve"> / r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phoneticPr xmlns="http://schemas.openxmlformats.org/spreadsheetml/2006/main" fontId="28" type="noConversion"/>
  </si>
  <si>
    <r xmlns="http://schemas.openxmlformats.org/spreadsheetml/2006/main">
      <t>Calculation of F</t>
    </r>
    <r xmlns="http://schemas.openxmlformats.org/spreadsheetml/2006/main">
      <rPr>
        <vertAlign val="subscript"/>
        <sz val="9"/>
        <rFont val="맑은 고딕"/>
        <family val="3"/>
        <charset val="129"/>
      </rPr>
      <t>cb</t>
    </r>
    <phoneticPr xmlns="http://schemas.openxmlformats.org/spreadsheetml/2006/main" fontId="28" type="noConversion"/>
  </si>
  <si>
    <t>강.설 4.3.3.2.8.2(2)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</si>
  <si>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cb</t>
    </r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</si>
  <si>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≤ λ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phoneticPr xmlns="http://schemas.openxmlformats.org/spreadsheetml/2006/main" fontId="31" type="noConversion"/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</si>
  <si>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Δ</t>
    </r>
    <phoneticPr xmlns="http://schemas.openxmlformats.org/spreadsheetml/2006/main" fontId="31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</si>
  <si>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&lt; 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≤ λ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31" type="noConversion"/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</si>
  <si>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[</t>
    </r>
    <r xmlns="http://schemas.openxmlformats.org/spreadsheetml/2006/main">
      <rPr>
        <sz val="9"/>
        <rFont val="Calibri"/>
        <family val="3"/>
        <charset val="161"/>
      </rPr>
      <t>Δ</t>
    </r>
    <r xmlns="http://schemas.openxmlformats.org/spreadsheetml/2006/main">
      <rPr>
        <sz val="9"/>
        <rFont val="맑은 고딕"/>
        <family val="3"/>
        <charset val="129"/>
      </rPr>
      <t xml:space="preserve"> - (</t>
    </r>
    <r xmlns="http://schemas.openxmlformats.org/spreadsheetml/2006/main">
      <rPr>
        <sz val="9"/>
        <rFont val="Calibri"/>
        <family val="3"/>
        <charset val="161"/>
      </rPr>
      <t>Δ</t>
    </r>
    <r xmlns="http://schemas.openxmlformats.org/spreadsheetml/2006/main">
      <rPr>
        <sz val="9"/>
        <rFont val="맑은 고딕"/>
        <family val="3"/>
        <charset val="129"/>
      </rPr>
      <t xml:space="preserve"> - (</t>
    </r>
    <r xmlns="http://schemas.openxmlformats.org/spreadsheetml/2006/main">
      <rPr>
        <sz val="9"/>
        <rFont val="Calibri"/>
        <family val="3"/>
        <charset val="161"/>
      </rPr>
      <t>Δ</t>
    </r>
    <r xmlns="http://schemas.openxmlformats.org/spreadsheetml/2006/main">
      <rPr>
        <sz val="9"/>
        <rFont val="맑은 고딕"/>
        <family val="3"/>
        <charset val="129"/>
      </rPr>
      <t xml:space="preserve"> - 0.3)/R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) (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f </t>
    </r>
    <r xmlns="http://schemas.openxmlformats.org/spreadsheetml/2006/main">
      <rPr>
        <sz val="9"/>
        <rFont val="맑은 고딕"/>
        <family val="3"/>
        <charset val="129"/>
      </rPr>
      <t xml:space="preserve">- 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>)/(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r </t>
    </r>
    <r xmlns="http://schemas.openxmlformats.org/spreadsheetml/2006/main">
      <rPr>
        <sz val="9"/>
        <rFont val="맑은 고딕"/>
        <family val="3"/>
        <charset val="129"/>
      </rPr>
      <t xml:space="preserve">- 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>)]</t>
    </r>
    <phoneticPr xmlns="http://schemas.openxmlformats.org/spreadsheetml/2006/main" fontId="28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</si>
  <si>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&lt; 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phoneticPr xmlns="http://schemas.openxmlformats.org/spreadsheetml/2006/main" fontId="31" type="noConversion"/>
  </si>
  <si>
    <r xmlns="http://schemas.openxmlformats.org/spreadsheetml/2006/main">
      <t>0.9ER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k/λ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phoneticPr xmlns="http://schemas.openxmlformats.org/spreadsheetml/2006/main" fontId="31" type="noConversion"/>
  </si>
  <si>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f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 = b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fc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 / t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fc</t>
    </r>
    <phoneticPr xmlns="http://schemas.openxmlformats.org/spreadsheetml/2006/main" fontId="28" type="noConversion"/>
  </si>
  <si>
    <t>if 종리브 없음</t>
  </si>
  <si>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f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 = w / t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fc</t>
    </r>
    <phoneticPr xmlns="http://schemas.openxmlformats.org/spreadsheetml/2006/main" fontId="28" type="noConversion"/>
  </si>
  <si>
    <t>if 종리브 있음</t>
  </si>
  <si>
    <r xmlns="http://schemas.openxmlformats.org/spreadsheetml/2006/main">
      <t>λ</t>
    </r>
    <r xmlns="http://schemas.openxmlformats.org/spreadsheetml/2006/main">
      <rPr>
        <vertAlign val="subscript"/>
        <sz val="9"/>
        <color theme="1"/>
        <rFont val="Calibri Light"/>
        <family val="3"/>
        <charset val="129"/>
        <scheme val="major"/>
      </rPr>
      <t>r</t>
    </r>
    <r xmlns="http://schemas.openxmlformats.org/spreadsheetml/2006/main">
      <rPr>
        <sz val="9"/>
        <color theme="1"/>
        <rFont val="Calibri Light"/>
        <family val="3"/>
        <charset val="129"/>
        <scheme val="major"/>
      </rPr>
      <t xml:space="preserve"> = 0.95 √(Ek / (Δ - 0.3) / F</t>
    </r>
    <r xmlns="http://schemas.openxmlformats.org/spreadsheetml/2006/main">
      <rPr>
        <vertAlign val="subscript"/>
        <sz val="9"/>
        <color theme="1"/>
        <rFont val="Calibri Light"/>
        <family val="3"/>
        <charset val="129"/>
        <scheme val="major"/>
      </rPr>
      <t>yc</t>
    </r>
    <r xmlns="http://schemas.openxmlformats.org/spreadsheetml/2006/main">
      <rPr>
        <sz val="9"/>
        <color theme="1"/>
        <rFont val="Calibri Light"/>
        <family val="3"/>
        <charset val="129"/>
        <scheme val="major"/>
      </rPr>
      <t>)</t>
    </r>
    <phoneticPr xmlns="http://schemas.openxmlformats.org/spreadsheetml/2006/main" fontId="28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</si>
  <si>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p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 = 0.57 √(Ek / Δ / F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yc</t>
    </r>
    <r xmlns="http://schemas.openxmlformats.org/spreadsheetml/2006/main">
      <rPr>
        <sz val="9"/>
        <rFont val="Calibri Light"/>
        <family val="3"/>
        <charset val="129"/>
        <scheme val="major"/>
      </rPr>
      <t>)</t>
    </r>
    <phoneticPr xmlns="http://schemas.openxmlformats.org/spreadsheetml/2006/main" fontId="28" type="noConversion"/>
  </si>
  <si>
    <r xmlns="http://schemas.openxmlformats.org/spreadsheetml/2006/main">
      <t>Δ = √(1 - (f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v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 / F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yc</t>
    </r>
    <r xmlns="http://schemas.openxmlformats.org/spreadsheetml/2006/main">
      <rPr>
        <sz val="9"/>
        <rFont val="Calibri Light"/>
        <family val="3"/>
        <charset val="129"/>
        <scheme val="major"/>
      </rPr>
      <t>)</t>
    </r>
    <r xmlns="http://schemas.openxmlformats.org/spreadsheetml/2006/main">
      <rPr>
        <vertAlign val="superscript"/>
        <sz val="9"/>
        <rFont val="Calibri Light"/>
        <family val="3"/>
        <charset val="129"/>
        <scheme val="major"/>
      </rPr>
      <t>2</t>
    </r>
    <r xmlns="http://schemas.openxmlformats.org/spreadsheetml/2006/main">
      <rPr>
        <sz val="9"/>
        <rFont val="Calibri Light"/>
        <family val="3"/>
        <charset val="129"/>
        <scheme val="major"/>
      </rPr>
      <t>)</t>
    </r>
    <phoneticPr xmlns="http://schemas.openxmlformats.org/spreadsheetml/2006/main" fontId="28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</si>
  <si>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v</t>
    </r>
    <r xmlns="http://schemas.openxmlformats.org/spreadsheetml/2006/main">
      <rPr>
        <sz val="9"/>
        <rFont val="맑은 고딕"/>
        <family val="3"/>
        <charset val="129"/>
      </rPr>
      <t xml:space="preserve"> = T / (2A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r xmlns="http://schemas.openxmlformats.org/spreadsheetml/2006/main">
      <rPr>
        <sz val="9"/>
        <rFont val="맑은 고딕"/>
        <family val="3"/>
        <charset val="129"/>
      </rPr>
      <t xml:space="preserve"> t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28" type="noConversion"/>
  </si>
  <si>
    <t>T</t>
  </si>
  <si>
    <t>계수하중에 의한 내부토크</t>
  </si>
  <si>
    <r xmlns="http://schemas.openxmlformats.org/spreadsheetml/2006/main"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</si>
  <si>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t>박스거더 단면의 폐합단면적</t>
  </si>
  <si>
    <t xml:space="preserve">압축플랜지의 종방향보강재 폭 또는 웨브로부터 가장 가까운 </t>
  </si>
  <si>
    <t>종방향보강재까지의 거리 중 큰 값</t>
  </si>
  <si>
    <r xmlns="http://schemas.openxmlformats.org/spreadsheetml/2006/main">
      <t>Calculation of F</t>
    </r>
    <r xmlns="http://schemas.openxmlformats.org/spreadsheetml/2006/main">
      <rPr>
        <vertAlign val="subscript"/>
        <sz val="9"/>
        <rFont val="맑은 고딕"/>
        <family val="3"/>
        <charset val="129"/>
      </rPr>
      <t>cv</t>
    </r>
    <phoneticPr xmlns="http://schemas.openxmlformats.org/spreadsheetml/2006/main" fontId="28" type="noConversion"/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</si>
  <si>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cv</t>
    </r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</si>
  <si>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≤ 1.12√(Ek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</si>
  <si>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0.58F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</si>
  <si>
    <r xmlns="http://schemas.openxmlformats.org/spreadsheetml/2006/main">
      <t>1.12√(Ek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s</t>
    </r>
    <r xmlns="http://schemas.openxmlformats.org/spreadsheetml/2006/main">
      <rPr>
        <sz val="9"/>
        <rFont val="Calibri Light"/>
        <family val="3"/>
        <charset val="129"/>
        <scheme val="major"/>
      </rPr>
      <t>/F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yc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) &lt; 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f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 ≤ 1.40√(Ek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s</t>
    </r>
    <r xmlns="http://schemas.openxmlformats.org/spreadsheetml/2006/main">
      <rPr>
        <sz val="9"/>
        <rFont val="Calibri Light"/>
        <family val="3"/>
        <charset val="129"/>
        <scheme val="major"/>
      </rPr>
      <t>/F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yc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) </t>
    </r>
    <phoneticPr xmlns="http://schemas.openxmlformats.org/spreadsheetml/2006/main" fontId="31" type="noConversion"/>
  </si>
  <si>
    <r xmlns="http://schemas.openxmlformats.org/spreadsheetml/2006/main">
      <t>0.65√(F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Ek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)/λ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phoneticPr xmlns="http://schemas.openxmlformats.org/spreadsheetml/2006/main" fontId="31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</si>
  <si>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f</t>
    </r>
    <r xmlns="http://schemas.openxmlformats.org/spreadsheetml/2006/main">
      <rPr>
        <sz val="9"/>
        <rFont val="Calibri Light"/>
        <family val="3"/>
        <charset val="129"/>
        <scheme val="major"/>
      </rPr>
      <t xml:space="preserve"> &gt; 1.40√(Ek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s</t>
    </r>
    <r xmlns="http://schemas.openxmlformats.org/spreadsheetml/2006/main">
      <rPr>
        <sz val="9"/>
        <rFont val="Calibri Light"/>
        <family val="3"/>
        <charset val="129"/>
        <scheme val="major"/>
      </rPr>
      <t>/F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yc</t>
    </r>
    <r xmlns="http://schemas.openxmlformats.org/spreadsheetml/2006/main">
      <rPr>
        <sz val="9"/>
        <rFont val="Calibri Light"/>
        <family val="3"/>
        <charset val="129"/>
        <scheme val="major"/>
      </rPr>
      <t>)</t>
    </r>
    <phoneticPr xmlns="http://schemas.openxmlformats.org/spreadsheetml/2006/main" fontId="31" type="noConversion"/>
  </si>
  <si>
    <r xmlns="http://schemas.openxmlformats.org/spreadsheetml/2006/main">
      <t>0.9Ek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phoneticPr xmlns="http://schemas.openxmlformats.org/spreadsheetml/2006/main" fontId="31" type="noConversion"/>
  </si>
  <si>
    <t xml:space="preserve">Calculation of k, ks  - Plate-buckling coefficient</t>
  </si>
  <si>
    <t>k</t>
  </si>
  <si>
    <r xmlns="http://schemas.openxmlformats.org/spreadsheetml/2006/main">
      <t>k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s</t>
    </r>
  </si>
  <si>
    <t>종리브 없음</t>
  </si>
  <si>
    <t>n = 1</t>
  </si>
  <si>
    <r xmlns="http://schemas.openxmlformats.org/spreadsheetml/2006/main">
      <t>1.0 ≤ [8I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/(wt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vertAlign val="superscript"/>
        <sz val="9"/>
        <rFont val="맑은 고딕"/>
        <family val="3"/>
        <charset val="129"/>
      </rPr>
      <t>3</t>
    </r>
    <r xmlns="http://schemas.openxmlformats.org/spreadsheetml/2006/main">
      <rPr>
        <sz val="9"/>
        <rFont val="맑은 고딕"/>
        <family val="3"/>
        <charset val="129"/>
      </rPr>
      <t>)]</t>
    </r>
    <r xmlns="http://schemas.openxmlformats.org/spreadsheetml/2006/main">
      <rPr>
        <vertAlign val="superscript"/>
        <sz val="9"/>
        <rFont val="맑은 고딕"/>
        <family val="3"/>
        <charset val="129"/>
      </rPr>
      <t xml:space="preserve">1/3 </t>
    </r>
    <r xmlns="http://schemas.openxmlformats.org/spreadsheetml/2006/main">
      <rPr>
        <sz val="9"/>
        <rFont val="맑은 고딕"/>
        <family val="3"/>
        <charset val="129"/>
      </rPr>
      <t>≤ 4.0</t>
    </r>
    <phoneticPr xmlns="http://schemas.openxmlformats.org/spreadsheetml/2006/main" fontId="31" type="noConversion"/>
  </si>
  <si>
    <t>종리브 있음</t>
  </si>
  <si>
    <r xmlns="http://schemas.openxmlformats.org/spreadsheetml/2006/main">
      <t>5.34 + 2.84(I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/w/t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vertAlign val="superscript"/>
        <sz val="9"/>
        <rFont val="맑은 고딕"/>
        <family val="3"/>
        <charset val="129"/>
      </rPr>
      <t>3</t>
    </r>
    <r xmlns="http://schemas.openxmlformats.org/spreadsheetml/2006/main">
      <rPr>
        <sz val="9"/>
        <rFont val="맑은 고딕"/>
        <family val="3"/>
        <charset val="129"/>
      </rPr>
      <t>)</t>
    </r>
    <r xmlns="http://schemas.openxmlformats.org/spreadsheetml/2006/main">
      <rPr>
        <vertAlign val="superscript"/>
        <sz val="9"/>
        <rFont val="맑은 고딕"/>
        <family val="3"/>
        <charset val="129"/>
      </rPr>
      <t>1/3</t>
    </r>
    <phoneticPr xmlns="http://schemas.openxmlformats.org/spreadsheetml/2006/main" fontId="28" type="noConversion"/>
  </si>
  <si>
    <t>≤ 5.34</t>
  </si>
  <si>
    <t>n = 2</t>
  </si>
  <si>
    <r xmlns="http://schemas.openxmlformats.org/spreadsheetml/2006/main">
      <t>1.0 ≤ [0.894I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/(wt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vertAlign val="superscript"/>
        <sz val="9"/>
        <rFont val="맑은 고딕"/>
        <family val="3"/>
        <charset val="129"/>
      </rPr>
      <t>3</t>
    </r>
    <r xmlns="http://schemas.openxmlformats.org/spreadsheetml/2006/main">
      <rPr>
        <sz val="9"/>
        <rFont val="맑은 고딕"/>
        <family val="3"/>
        <charset val="129"/>
      </rPr>
      <t>)]</t>
    </r>
    <r xmlns="http://schemas.openxmlformats.org/spreadsheetml/2006/main">
      <rPr>
        <vertAlign val="superscript"/>
        <sz val="9"/>
        <rFont val="맑은 고딕"/>
        <family val="3"/>
        <charset val="129"/>
      </rPr>
      <t xml:space="preserve">1/3 </t>
    </r>
    <r xmlns="http://schemas.openxmlformats.org/spreadsheetml/2006/main">
      <rPr>
        <sz val="9"/>
        <rFont val="맑은 고딕"/>
        <family val="3"/>
        <charset val="129"/>
      </rPr>
      <t>≤ 4.0</t>
    </r>
    <phoneticPr xmlns="http://schemas.openxmlformats.org/spreadsheetml/2006/main" fontId="31" type="noConversion"/>
  </si>
  <si>
    <r xmlns="http://schemas.openxmlformats.org/spreadsheetml/2006/main">
      <t>(n + 1)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phoneticPr xmlns="http://schemas.openxmlformats.org/spreadsheetml/2006/main" fontId="28" type="noConversion"/>
  </si>
  <si>
    <t xml:space="preserve">n </t>
  </si>
  <si>
    <t>등간격인 종방향보강재의 수</t>
  </si>
  <si>
    <r xmlns="http://schemas.openxmlformats.org/spreadsheetml/2006/main">
      <t>I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phoneticPr xmlns="http://schemas.openxmlformats.org/spreadsheetml/2006/main" fontId="31" type="noConversion"/>
  </si>
  <si>
    <t>종리브 단면2차모멘트</t>
  </si>
  <si>
    <r xmlns="http://schemas.openxmlformats.org/spreadsheetml/2006/main">
      <t>Table 7.1.3. Calculation of R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h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</si>
  <si>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산정</t>
    </r>
    <phoneticPr xmlns="http://schemas.openxmlformats.org/spreadsheetml/2006/main" fontId="31" type="noConversion"/>
  </si>
  <si>
    <r xmlns="http://schemas.openxmlformats.org/spreadsheetml/2006/main"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fn </t>
    </r>
    <r xmlns="http://schemas.openxmlformats.org/spreadsheetml/2006/main">
      <rPr>
        <sz val="9"/>
        <rFont val="맑은 고딕"/>
        <family val="3"/>
        <charset val="129"/>
      </rPr>
      <t>산정</t>
    </r>
    <phoneticPr xmlns="http://schemas.openxmlformats.org/spreadsheetml/2006/main" fontId="31" type="noConversion"/>
  </si>
  <si>
    <t>ρ</t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</si>
  <si>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phoneticPr xmlns="http://schemas.openxmlformats.org/spreadsheetml/2006/main" fontId="31" type="noConversion"/>
  </si>
  <si>
    <t>β</t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</si>
  <si>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</si>
  <si>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top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</si>
  <si>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</si>
  <si>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phoneticPr xmlns="http://schemas.openxmlformats.org/spreadsheetml/2006/main" fontId="31" type="noConversion"/>
  </si>
  <si>
    <r xmlns="http://schemas.openxmlformats.org/spreadsheetml/2006/main">
      <t>n</t>
    </r>
    <r xmlns="http://schemas.openxmlformats.org/spreadsheetml/2006/main">
      <rPr>
        <vertAlign val="subscript"/>
        <sz val="9"/>
        <rFont val="맑은 고딕"/>
        <family val="3"/>
        <charset val="129"/>
      </rPr>
      <t>top</t>
    </r>
    <phoneticPr xmlns="http://schemas.openxmlformats.org/spreadsheetml/2006/main" fontId="31" type="noConversion"/>
  </si>
  <si>
    <r xmlns="http://schemas.openxmlformats.org/spreadsheetml/2006/main">
      <t>b</t>
    </r>
    <r xmlns="http://schemas.openxmlformats.org/spreadsheetml/2006/main">
      <rPr>
        <vertAlign val="subscript"/>
        <sz val="9"/>
        <rFont val="맑은 고딕"/>
        <family val="3"/>
        <charset val="129"/>
      </rPr>
      <t>top</t>
    </r>
    <phoneticPr xmlns="http://schemas.openxmlformats.org/spreadsheetml/2006/main" fontId="31" type="noConversion"/>
  </si>
  <si>
    <r xmlns="http://schemas.openxmlformats.org/spreadsheetml/2006/main">
      <t>b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phoneticPr xmlns="http://schemas.openxmlformats.org/spreadsheetml/2006/main" fontId="31" type="noConversion"/>
  </si>
  <si>
    <r xmlns="http://schemas.openxmlformats.org/spreadsheetml/2006/main"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fn</t>
    </r>
    <phoneticPr xmlns="http://schemas.openxmlformats.org/spreadsheetml/2006/main" fontId="31" type="noConversion"/>
  </si>
  <si>
    <r xmlns="http://schemas.openxmlformats.org/spreadsheetml/2006/main">
      <t>Table 7.1.4. Calculation of 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i/>
        <sz val="9"/>
        <rFont val="맑은 고딕"/>
        <family val="3"/>
        <charset val="129"/>
      </rPr>
      <t xml:space="preserve"> (for Open - Compression Flange)</t>
    </r>
    <phoneticPr xmlns="http://schemas.openxmlformats.org/spreadsheetml/2006/main" fontId="31" type="noConversion"/>
  </si>
  <si>
    <t>BF/OF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</si>
  <si>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nc_LB</t>
    </r>
    <r xmlns="http://schemas.openxmlformats.org/spreadsheetml/2006/main">
      <rPr>
        <sz val="9"/>
        <rFont val="맑은 고딕"/>
        <family val="3"/>
        <charset val="129"/>
      </rPr>
      <t xml:space="preserve"> 산정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</si>
  <si>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nc_LTB</t>
    </r>
    <r xmlns="http://schemas.openxmlformats.org/spreadsheetml/2006/main">
      <rPr>
        <sz val="9"/>
        <rFont val="맑은 고딕"/>
        <family val="3"/>
        <charset val="129"/>
      </rPr>
      <t xml:space="preserve"> 산정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</si>
  <si>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</t>
    </r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</si>
  <si>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phoneticPr xmlns="http://schemas.openxmlformats.org/spreadsheetml/2006/main" fontId="31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</si>
  <si>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pf</t>
    </r>
    <phoneticPr xmlns="http://schemas.openxmlformats.org/spreadsheetml/2006/main" fontId="31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</si>
  <si>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rf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</si>
  <si>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nc_LB</t>
    </r>
    <phoneticPr xmlns="http://schemas.openxmlformats.org/spreadsheetml/2006/main" fontId="31" type="noConversion"/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</si>
  <si>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phoneticPr xmlns="http://schemas.openxmlformats.org/spreadsheetml/2006/main" fontId="31" type="noConversion"/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</si>
  <si>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phoneticPr xmlns="http://schemas.openxmlformats.org/spreadsheetml/2006/main" fontId="31" type="noConversion"/>
  </si>
  <si>
    <r xmlns="http://schemas.openxmlformats.org/spreadsheetml/2006/main">
      <t>L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</si>
  <si>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cr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</si>
  <si>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nc_LTB</t>
    </r>
    <phoneticPr xmlns="http://schemas.openxmlformats.org/spreadsheetml/2006/main" fontId="31" type="noConversion"/>
  </si>
  <si>
    <t>(OF)</t>
  </si>
  <si>
    <t>Table 7.1.5. Calculation of Δ</t>
  </si>
  <si>
    <r xmlns="http://schemas.openxmlformats.org/spreadsheetml/2006/main"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0 </t>
    </r>
    <r xmlns="http://schemas.openxmlformats.org/spreadsheetml/2006/main">
      <rPr>
        <sz val="9"/>
        <rFont val="맑은 고딕"/>
        <family val="3"/>
        <charset val="129"/>
      </rPr>
      <t>산정</t>
    </r>
    <phoneticPr xmlns="http://schemas.openxmlformats.org/spreadsheetml/2006/main" fontId="31" type="noConversion"/>
  </si>
  <si>
    <t>Torsional moment</t>
  </si>
  <si>
    <r xmlns="http://schemas.openxmlformats.org/spreadsheetml/2006/main">
      <t xml:space="preserve"> f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v </t>
    </r>
    <phoneticPr xmlns="http://schemas.openxmlformats.org/spreadsheetml/2006/main" fontId="31" type="noConversion"/>
  </si>
  <si>
    <t>Δ</t>
  </si>
  <si>
    <r xmlns="http://schemas.openxmlformats.org/spreadsheetml/2006/main">
      <t>c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phoneticPr xmlns="http://schemas.openxmlformats.org/spreadsheetml/2006/main" fontId="31" type="noConversion"/>
  </si>
  <si>
    <r xmlns="http://schemas.openxmlformats.org/spreadsheetml/2006/main"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phoneticPr xmlns="http://schemas.openxmlformats.org/spreadsheetml/2006/main" fontId="31" type="noConversion"/>
  </si>
  <si>
    <t>DC1</t>
  </si>
  <si>
    <t>DC2</t>
  </si>
  <si>
    <t>DC3</t>
  </si>
  <si>
    <t>Table 7.1.6. Calculation of k, ks (for Box - Compression Flange)</t>
  </si>
  <si>
    <r xmlns="http://schemas.openxmlformats.org/spreadsheetml/2006/main">
      <t>I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 xml:space="preserve">s </t>
    </r>
    <r xmlns="http://schemas.openxmlformats.org/spreadsheetml/2006/main">
      <rPr>
        <sz val="9"/>
        <rFont val="Calibri Light"/>
        <family val="3"/>
        <charset val="129"/>
        <scheme val="major"/>
      </rPr>
      <t>산정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</si>
  <si>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phoneticPr xmlns="http://schemas.openxmlformats.org/spreadsheetml/2006/main" fontId="31" type="noConversion"/>
  </si>
  <si>
    <r xmlns="http://schemas.openxmlformats.org/spreadsheetml/2006/main">
      <t>b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phoneticPr xmlns="http://schemas.openxmlformats.org/spreadsheetml/2006/main" fontId="31" type="noConversion"/>
  </si>
  <si>
    <r xmlns="http://schemas.openxmlformats.org/spreadsheetml/2006/main">
      <t>n</t>
    </r>
    <r xmlns="http://schemas.openxmlformats.org/spreadsheetml/2006/main">
      <rPr>
        <vertAlign val="subscript"/>
        <sz val="9"/>
        <rFont val="맑은 고딕"/>
        <family val="3"/>
        <charset val="129"/>
      </rPr>
      <t>rib</t>
    </r>
    <phoneticPr xmlns="http://schemas.openxmlformats.org/spreadsheetml/2006/main" fontId="31" type="noConversion"/>
  </si>
  <si>
    <r xmlns="http://schemas.openxmlformats.org/spreadsheetml/2006/main">
      <t>k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phoneticPr xmlns="http://schemas.openxmlformats.org/spreadsheetml/2006/main" fontId="31" type="noConversion"/>
  </si>
  <si>
    <r xmlns="http://schemas.openxmlformats.org/spreadsheetml/2006/main">
      <t>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</si>
  <si>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phoneticPr xmlns="http://schemas.openxmlformats.org/spreadsheetml/2006/main" fontId="31" type="noConversion"/>
  </si>
  <si>
    <r xmlns="http://schemas.openxmlformats.org/spreadsheetml/2006/main">
      <t>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</si>
  <si>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phoneticPr xmlns="http://schemas.openxmlformats.org/spreadsheetml/2006/main" fontId="31" type="noConversion"/>
  </si>
  <si>
    <t>Is</t>
  </si>
  <si>
    <r xmlns="http://schemas.openxmlformats.org/spreadsheetml/2006/main">
      <t>Table 7.1.7. Calculation of 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i/>
        <sz val="9"/>
        <rFont val="맑은 고딕"/>
        <family val="3"/>
        <charset val="129"/>
      </rPr>
      <t xml:space="preserve"> for Box - Compression Flange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</si>
  <si>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cb</t>
    </r>
    <r xmlns="http://schemas.openxmlformats.org/spreadsheetml/2006/main">
      <rPr>
        <sz val="9"/>
        <rFont val="맑은 고딕"/>
        <family val="3"/>
        <charset val="129"/>
      </rPr>
      <t xml:space="preserve"> 산정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</si>
  <si>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cv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</si>
  <si>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v</t>
    </r>
    <phoneticPr xmlns="http://schemas.openxmlformats.org/spreadsheetml/2006/main" fontId="31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</si>
  <si>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31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</si>
  <si>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</si>
  <si>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cb</t>
    </r>
    <phoneticPr xmlns="http://schemas.openxmlformats.org/spreadsheetml/2006/main" fontId="31" type="noConversion"/>
  </si>
  <si>
    <t>(BF)</t>
  </si>
  <si>
    <r xmlns="http://schemas.openxmlformats.org/spreadsheetml/2006/main">
      <t>Table 7.1.8.  Summarizes 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i/>
        <sz val="9"/>
        <rFont val="맑은 고딕"/>
        <family val="3"/>
        <charset val="129"/>
      </rPr>
      <t xml:space="preserve"> and 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nt</t>
    </r>
    <phoneticPr xmlns="http://schemas.openxmlformats.org/spreadsheetml/2006/main" fontId="31" type="noConversion"/>
  </si>
  <si>
    <t>Compression</t>
  </si>
  <si>
    <t>Tension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</si>
  <si>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</si>
  <si>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sz val="9"/>
        <rFont val="맑은 고딕"/>
        <family val="3"/>
        <charset val="129"/>
      </rPr>
      <t>/OF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</si>
  <si>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sz val="9"/>
        <rFont val="맑은 고딕"/>
        <family val="3"/>
        <charset val="129"/>
      </rPr>
      <t>/BF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</si>
  <si>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</si>
  <si>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yt</t>
    </r>
    <phoneticPr xmlns="http://schemas.openxmlformats.org/spreadsheetml/2006/main" fontId="28" type="noConversion"/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</si>
  <si>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yt</t>
    </r>
    <phoneticPr xmlns="http://schemas.openxmlformats.org/spreadsheetml/2006/main" fontId="28" type="noConversion"/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</si>
  <si>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yt</t>
    </r>
    <r xmlns="http://schemas.openxmlformats.org/spreadsheetml/2006/main">
      <rPr>
        <sz val="9"/>
        <rFont val="Calibri"/>
        <family val="3"/>
        <charset val="161"/>
      </rPr>
      <t>Δ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</si>
  <si>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nt</t>
    </r>
    <phoneticPr xmlns="http://schemas.openxmlformats.org/spreadsheetml/2006/main" fontId="28" type="noConversion"/>
  </si>
  <si>
    <t>3) Checking for compression and tension flanges</t>
  </si>
  <si>
    <t>압축플랜지</t>
  </si>
  <si>
    <t>인장플랜지</t>
  </si>
  <si>
    <t>Open flange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</si>
  <si>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+f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 xml:space="preserve">l </t>
    </r>
    <r xmlns="http://schemas.openxmlformats.org/spreadsheetml/2006/main">
      <rPr>
        <b/>
        <sz val="9"/>
        <rFont val="맑은 고딕"/>
        <family val="3"/>
        <charset val="129"/>
      </rPr>
      <t>≤ 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R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yc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</si>
  <si>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+ 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l</t>
    </r>
    <r xmlns="http://schemas.openxmlformats.org/spreadsheetml/2006/main">
      <rPr>
        <b/>
        <sz val="9"/>
        <rFont val="맑은 고딕"/>
        <family val="3"/>
        <charset val="129"/>
      </rPr>
      <t xml:space="preserve"> ≤ </t>
    </r>
    <r xmlns="http://schemas.openxmlformats.org/spreadsheetml/2006/main">
      <rPr>
        <b/>
        <sz val="9"/>
        <rFont val="Calibri"/>
        <family val="3"/>
        <charset val="161"/>
      </rPr>
      <t>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R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yt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</si>
  <si>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+f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l</t>
    </r>
    <r xmlns="http://schemas.openxmlformats.org/spreadsheetml/2006/main">
      <rPr>
        <b/>
        <sz val="9"/>
        <rFont val="맑은 고딕"/>
        <family val="3"/>
        <charset val="129"/>
      </rPr>
      <t>/3 ≤ 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nc</t>
    </r>
    <phoneticPr xmlns="http://schemas.openxmlformats.org/spreadsheetml/2006/main" fontId="31" type="noConversion"/>
  </si>
  <si>
    <t>Box flange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</si>
  <si>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 ≤ </t>
    </r>
    <r xmlns="http://schemas.openxmlformats.org/spreadsheetml/2006/main">
      <rPr>
        <b/>
        <sz val="9"/>
        <rFont val="Calibri"/>
        <family val="3"/>
        <charset val="161"/>
      </rPr>
      <t>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nc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</si>
  <si>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≤ </t>
    </r>
    <r xmlns="http://schemas.openxmlformats.org/spreadsheetml/2006/main">
      <rPr>
        <b/>
        <sz val="9"/>
        <rFont val="Calibri"/>
        <family val="3"/>
        <charset val="161"/>
      </rPr>
      <t>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R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yf</t>
    </r>
    <r xmlns="http://schemas.openxmlformats.org/spreadsheetml/2006/main">
      <rPr>
        <b/>
        <sz val="9"/>
        <rFont val="Calibri"/>
        <family val="3"/>
        <charset val="161"/>
      </rPr>
      <t>Δ</t>
    </r>
    <phoneticPr xmlns="http://schemas.openxmlformats.org/spreadsheetml/2006/main" fontId="31" type="noConversion"/>
  </si>
  <si>
    <r xmlns="http://schemas.openxmlformats.org/spreadsheetml/2006/main">
      <t>for slender web with 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l</t>
    </r>
    <r xmlns="http://schemas.openxmlformats.org/spreadsheetml/2006/main">
      <rPr>
        <i/>
        <sz val="9"/>
        <rFont val="맑은 고딕"/>
        <family val="3"/>
        <charset val="129"/>
      </rPr>
      <t xml:space="preserve"> = 0, the equation (1) 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i/>
        <sz val="9"/>
        <rFont val="맑은 고딕"/>
        <family val="3"/>
        <charset val="129"/>
      </rPr>
      <t xml:space="preserve"> + 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l</t>
    </r>
    <r xmlns="http://schemas.openxmlformats.org/spreadsheetml/2006/main">
      <rPr>
        <i/>
        <sz val="9"/>
        <rFont val="맑은 고딕"/>
        <family val="3"/>
        <charset val="129"/>
      </rPr>
      <t xml:space="preserve"> ≤ Φ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i/>
        <sz val="9"/>
        <rFont val="맑은 고딕"/>
        <family val="3"/>
        <charset val="129"/>
      </rPr>
      <t>R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i/>
        <sz val="9"/>
        <rFont val="맑은 고딕"/>
        <family val="3"/>
        <charset val="129"/>
      </rPr>
      <t>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i/>
        <sz val="9"/>
        <rFont val="맑은 고딕"/>
        <family val="3"/>
        <charset val="129"/>
      </rPr>
      <t xml:space="preserve"> will not be checked</t>
    </r>
    <phoneticPr xmlns="http://schemas.openxmlformats.org/spreadsheetml/2006/main" fontId="31" type="noConversion"/>
  </si>
  <si>
    <t>(Web classification is checked in the next section, S = slender web, C = compact or noncompact web)</t>
  </si>
  <si>
    <t>Table 7.1.9. Checking top flange stress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</si>
  <si>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bu</t>
    </r>
    <phoneticPr xmlns="http://schemas.openxmlformats.org/spreadsheetml/2006/main" fontId="28" type="noConversion"/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</si>
  <si>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+ 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ℓ</t>
    </r>
    <r xmlns="http://schemas.openxmlformats.org/spreadsheetml/2006/main">
      <rPr>
        <b/>
        <sz val="9"/>
        <rFont val="맑은 고딕"/>
        <family val="3"/>
        <charset val="129"/>
      </rPr>
      <t xml:space="preserve"> ≤ 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R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yc</t>
    </r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</si>
  <si>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+ 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ℓ</t>
    </r>
    <r xmlns="http://schemas.openxmlformats.org/spreadsheetml/2006/main">
      <rPr>
        <b/>
        <sz val="9"/>
        <rFont val="맑은 고딕"/>
        <family val="3"/>
        <charset val="129"/>
      </rPr>
      <t>/3 ≤ 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nc</t>
    </r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</si>
  <si>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+ 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ℓ</t>
    </r>
    <r xmlns="http://schemas.openxmlformats.org/spreadsheetml/2006/main">
      <rPr>
        <b/>
        <sz val="9"/>
        <rFont val="맑은 고딕"/>
        <family val="3"/>
        <charset val="129"/>
      </rPr>
      <t xml:space="preserve"> ≤ </t>
    </r>
    <r xmlns="http://schemas.openxmlformats.org/spreadsheetml/2006/main">
      <rPr>
        <b/>
        <sz val="9"/>
        <rFont val="Calibri"/>
        <family val="3"/>
        <charset val="161"/>
      </rPr>
      <t>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nt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</si>
  <si>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ℓ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</si>
  <si>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sz val="9"/>
        <rFont val="맑은 고딕"/>
        <family val="3"/>
        <charset val="129"/>
      </rPr>
      <t>+f</t>
    </r>
    <r xmlns="http://schemas.openxmlformats.org/spreadsheetml/2006/main">
      <rPr>
        <vertAlign val="subscript"/>
        <sz val="9"/>
        <rFont val="맑은 고딕"/>
        <family val="3"/>
        <charset val="129"/>
      </rPr>
      <t>ℓ</t>
    </r>
    <phoneticPr xmlns="http://schemas.openxmlformats.org/spreadsheetml/2006/main" fontId="28" type="noConversion"/>
  </si>
  <si>
    <r xmlns="http://schemas.openxmlformats.org/spreadsheetml/2006/main">
      <rPr>
        <sz val="9"/>
        <rFont val="Calibri"/>
        <family val="3"/>
        <charset val="161"/>
      </rPr>
      <t>Φ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phoneticPr xmlns="http://schemas.openxmlformats.org/spreadsheetml/2006/main" fontId="28" type="noConversion"/>
  </si>
  <si>
    <t>분류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</si>
  <si>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sz val="9"/>
        <rFont val="맑은 고딕"/>
        <family val="3"/>
        <charset val="129"/>
      </rPr>
      <t>+f</t>
    </r>
    <r xmlns="http://schemas.openxmlformats.org/spreadsheetml/2006/main">
      <rPr>
        <vertAlign val="subscript"/>
        <sz val="9"/>
        <rFont val="맑은 고딕"/>
        <family val="3"/>
        <charset val="129"/>
      </rPr>
      <t>ℓ</t>
    </r>
    <r xmlns="http://schemas.openxmlformats.org/spreadsheetml/2006/main">
      <rPr>
        <sz val="9"/>
        <rFont val="맑은 고딕"/>
        <family val="3"/>
        <charset val="129"/>
      </rPr>
      <t>/3</t>
    </r>
    <phoneticPr xmlns="http://schemas.openxmlformats.org/spreadsheetml/2006/main" fontId="28" type="noConversion"/>
  </si>
  <si>
    <r xmlns="http://schemas.openxmlformats.org/spreadsheetml/2006/main">
      <rPr>
        <sz val="9"/>
        <rFont val="Calibri"/>
        <family val="3"/>
        <charset val="161"/>
      </rPr>
      <t>Φ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Calibri"/>
        <family val="3"/>
      </rPr>
      <t>n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phoneticPr xmlns="http://schemas.openxmlformats.org/spreadsheetml/2006/main" fontId="28" type="noConversion"/>
  </si>
  <si>
    <r xmlns="http://schemas.openxmlformats.org/spreadsheetml/2006/main">
      <rPr>
        <sz val="9"/>
        <rFont val="Calibri"/>
        <family val="3"/>
        <charset val="161"/>
      </rPr>
      <t>Φ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Calibri"/>
        <family val="3"/>
      </rPr>
      <t>nt</t>
    </r>
    <phoneticPr xmlns="http://schemas.openxmlformats.org/spreadsheetml/2006/main" fontId="28" type="noConversion"/>
  </si>
  <si>
    <t>Table 7.1.10. Checking bottom flange stress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</si>
  <si>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≤ </t>
    </r>
    <r xmlns="http://schemas.openxmlformats.org/spreadsheetml/2006/main">
      <rPr>
        <b/>
        <sz val="9"/>
        <rFont val="Calibri"/>
        <family val="3"/>
        <charset val="161"/>
      </rPr>
      <t>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nc</t>
    </r>
    <phoneticPr xmlns="http://schemas.openxmlformats.org/spreadsheetml/2006/main" fontId="28" type="noConversion"/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</si>
  <si>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≤ </t>
    </r>
    <r xmlns="http://schemas.openxmlformats.org/spreadsheetml/2006/main">
      <rPr>
        <b/>
        <sz val="9"/>
        <rFont val="Calibri"/>
        <family val="3"/>
        <charset val="161"/>
      </rPr>
      <t>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nt</t>
    </r>
    <phoneticPr xmlns="http://schemas.openxmlformats.org/spreadsheetml/2006/main" fontId="31" type="noConversion"/>
  </si>
  <si>
    <t>4) Checking web Bend-Buckling Resistance for slender web</t>
  </si>
  <si>
    <t>강.설 4.3.3.1.1.9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</si>
  <si>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≤ </t>
    </r>
    <r xmlns="http://schemas.openxmlformats.org/spreadsheetml/2006/main">
      <rPr>
        <b/>
        <sz val="9"/>
        <rFont val="Calibri"/>
        <family val="3"/>
        <charset val="161"/>
      </rPr>
      <t>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crw</t>
    </r>
    <phoneticPr xmlns="http://schemas.openxmlformats.org/spreadsheetml/2006/main" fontId="28" type="noConversion"/>
  </si>
  <si>
    <t>(For section with compact or noncompact web, this equation shall not be checked)</t>
  </si>
  <si>
    <t>Section classification</t>
  </si>
  <si>
    <t>Section</t>
  </si>
  <si>
    <r xmlns="http://schemas.openxmlformats.org/spreadsheetml/2006/main">
      <t>2D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phoneticPr xmlns="http://schemas.openxmlformats.org/spreadsheetml/2006/main" fontId="31" type="noConversion"/>
  </si>
  <si>
    <r xmlns="http://schemas.openxmlformats.org/spreadsheetml/2006/main">
      <t>≤ 5.7√(E/F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</si>
  <si>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t>Compact or non-compact Web</t>
  </si>
  <si>
    <r xmlns="http://schemas.openxmlformats.org/spreadsheetml/2006/main">
      <t>&gt; 5.7√(E/F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</si>
  <si>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t>Slender Web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</si>
  <si>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crw</t>
    </r>
    <r xmlns="http://schemas.openxmlformats.org/spreadsheetml/2006/main">
      <rPr>
        <sz val="9"/>
        <rFont val="맑은 고딕"/>
        <family val="3"/>
        <charset val="129"/>
      </rPr>
      <t xml:space="preserve"> = </t>
    </r>
  </si>
  <si>
    <t>0.9Ek</t>
  </si>
  <si>
    <r xmlns="http://schemas.openxmlformats.org/spreadsheetml/2006/main">
      <t>≤ smaller (R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 xml:space="preserve"> and 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/0.7)</t>
    </r>
    <phoneticPr xmlns="http://schemas.openxmlformats.org/spreadsheetml/2006/main" fontId="31" type="noConversion"/>
  </si>
  <si>
    <r xmlns="http://schemas.openxmlformats.org/spreadsheetml/2006/main">
      <t>(D/t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</si>
  <si>
    <t>Calculation of k - bend-buckling coefficient</t>
  </si>
  <si>
    <t xml:space="preserve">→ For the unstiffened web </t>
  </si>
  <si>
    <r xmlns="http://schemas.openxmlformats.org/spreadsheetml/2006/main">
      <t>k = 9/(D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/D)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phoneticPr xmlns="http://schemas.openxmlformats.org/spreadsheetml/2006/main" fontId="31" type="noConversion"/>
  </si>
  <si>
    <t>→ For one longitudinal stiffener</t>
  </si>
  <si>
    <t>A. 6.10.1.9 &amp; 강.설 4.3.3.1.1.9</t>
  </si>
  <si>
    <t xml:space="preserve"> - 양쭉단이 압축 경우</t>
  </si>
  <si>
    <t xml:space="preserve"> - Otherwise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</si>
  <si>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≥ 0.4</t>
    </r>
    <phoneticPr xmlns="http://schemas.openxmlformats.org/spreadsheetml/2006/main" fontId="31" type="noConversion"/>
  </si>
  <si>
    <r xmlns="http://schemas.openxmlformats.org/spreadsheetml/2006/main">
      <t>5.17/(d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/D)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≥ 9/(D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/D)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</si>
  <si>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&lt;</t>
    </r>
    <r xmlns="http://schemas.openxmlformats.org/spreadsheetml/2006/main">
      <rPr>
        <sz val="9"/>
        <rFont val="맑은 고딕"/>
        <family val="3"/>
        <charset val="129"/>
      </rPr>
      <t xml:space="preserve"> 0.4</t>
    </r>
    <phoneticPr xmlns="http://schemas.openxmlformats.org/spreadsheetml/2006/main" fontId="31" type="noConversion"/>
  </si>
  <si>
    <r xmlns="http://schemas.openxmlformats.org/spreadsheetml/2006/main">
      <t>11.64/[(D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-d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)/D]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</si>
  <si>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phoneticPr xmlns="http://schemas.openxmlformats.org/spreadsheetml/2006/main" fontId="31" type="noConversion"/>
  </si>
  <si>
    <t>탄성범위 내에서 웨브의 압축 측 높이</t>
  </si>
  <si>
    <r xmlns="http://schemas.openxmlformats.org/spreadsheetml/2006/main">
      <t>YU1 - t</t>
    </r>
    <r xmlns="http://schemas.openxmlformats.org/spreadsheetml/2006/main">
      <rPr>
        <vertAlign val="subscript"/>
        <sz val="9"/>
        <rFont val="맑은 고딕"/>
        <family val="3"/>
        <charset val="129"/>
      </rPr>
      <t>top</t>
    </r>
    <r xmlns="http://schemas.openxmlformats.org/spreadsheetml/2006/main">
      <rPr>
        <sz val="9"/>
        <rFont val="맑은 고딕"/>
        <family val="3"/>
        <charset val="129"/>
      </rPr>
      <t xml:space="preserve"> for Positive moment; YL2s - t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for Negative moment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</si>
  <si>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</si>
  <si>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t>수평보강재 중심선과 압축플랜지 안쪽면사이의 거리</t>
  </si>
  <si>
    <r xmlns="http://schemas.openxmlformats.org/spreadsheetml/2006/main">
      <t>In this case, the values 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is taken as 0.2D</t>
    </r>
    <phoneticPr xmlns="http://schemas.openxmlformats.org/spreadsheetml/2006/main" fontId="31" type="noConversion"/>
  </si>
  <si>
    <t>→ For two longitudinal stiffener, k is calculated by equations proposed in below papers</t>
  </si>
  <si>
    <t>Kim, Byung Jun, et al. "Web bend-buckling strength of plate girders with two longitudinal</t>
  </si>
  <si>
    <r xmlns="http://schemas.openxmlformats.org/spreadsheetml/2006/main">
      <rPr>
        <i/>
        <sz val="9"/>
        <rFont val="맑은 고딕"/>
        <family val="3"/>
        <charset val="129"/>
      </rPr>
      <t>web stiffeners."</t>
    </r>
    <r xmlns="http://schemas.openxmlformats.org/spreadsheetml/2006/main">
      <rPr>
        <b/>
        <i/>
        <sz val="9"/>
        <rFont val="맑은 고딕"/>
        <family val="3"/>
        <charset val="129"/>
      </rPr>
      <t xml:space="preserve"> Structural Engineering and Mechanics 69.4 (2019): 383-397.</t>
    </r>
  </si>
  <si>
    <r xmlns="http://schemas.openxmlformats.org/spreadsheetml/2006/main">
      <rPr>
        <sz val="9"/>
        <rFont val="Calibri"/>
        <family val="3"/>
        <charset val="161"/>
      </rPr>
      <t>Ψ</t>
    </r>
    <r xmlns="http://schemas.openxmlformats.org/spreadsheetml/2006/main">
      <rPr>
        <sz val="9"/>
        <rFont val="맑은 고딕"/>
        <family val="3"/>
        <charset val="129"/>
      </rPr>
      <t xml:space="preserve"> ≥ -1.0</t>
    </r>
    <phoneticPr xmlns="http://schemas.openxmlformats.org/spreadsheetml/2006/main" fontId="31" type="noConversion"/>
  </si>
  <si>
    <r xmlns="http://schemas.openxmlformats.org/spreadsheetml/2006/main">
      <t xml:space="preserve"> - d</t>
    </r>
    <r xmlns="http://schemas.openxmlformats.org/spreadsheetml/2006/main">
      <rPr>
        <vertAlign val="subscript"/>
        <sz val="9"/>
        <rFont val="맑은 고딕"/>
        <family val="3"/>
        <charset val="129"/>
      </rPr>
      <t>sc</t>
    </r>
    <r xmlns="http://schemas.openxmlformats.org/spreadsheetml/2006/main">
      <rPr>
        <sz val="9"/>
        <rFont val="맑은 고딕"/>
        <family val="3"/>
        <charset val="129"/>
      </rPr>
      <t xml:space="preserve"> / 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&lt; 0.4</t>
    </r>
    <phoneticPr xmlns="http://schemas.openxmlformats.org/spreadsheetml/2006/main" fontId="31" type="noConversion"/>
  </si>
  <si>
    <r xmlns="http://schemas.openxmlformats.org/spreadsheetml/2006/main">
      <t>247.8 (d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sc </t>
    </r>
    <r xmlns="http://schemas.openxmlformats.org/spreadsheetml/2006/main">
      <rPr>
        <sz val="9"/>
        <rFont val="맑은 고딕"/>
        <family val="3"/>
        <charset val="129"/>
      </rPr>
      <t>/ 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)</t>
    </r>
    <r xmlns="http://schemas.openxmlformats.org/spreadsheetml/2006/main">
      <rPr>
        <vertAlign val="superscript"/>
        <sz val="9"/>
        <rFont val="맑은 고딕"/>
        <family val="3"/>
        <charset val="129"/>
      </rPr>
      <t>1.8</t>
    </r>
    <r xmlns="http://schemas.openxmlformats.org/spreadsheetml/2006/main">
      <rPr>
        <sz val="9"/>
        <rFont val="맑은 고딕"/>
        <family val="3"/>
        <charset val="129"/>
      </rPr>
      <t xml:space="preserve"> (1 - Ψ</t>
    </r>
    <r xmlns="http://schemas.openxmlformats.org/spreadsheetml/2006/main">
      <rPr>
        <sz val="9.5500000000000007"/>
        <rFont val="맑은 고딕"/>
        <family val="3"/>
        <charset val="129"/>
      </rPr>
      <t>)</t>
    </r>
    <r xmlns="http://schemas.openxmlformats.org/spreadsheetml/2006/main">
      <rPr>
        <vertAlign val="superscript"/>
        <sz val="9.5500000000000007"/>
        <rFont val="맑은 고딕"/>
        <family val="3"/>
        <charset val="129"/>
      </rPr>
      <t>2.7</t>
    </r>
    <phoneticPr xmlns="http://schemas.openxmlformats.org/spreadsheetml/2006/main" fontId="31" type="noConversion"/>
  </si>
  <si>
    <r xmlns="http://schemas.openxmlformats.org/spreadsheetml/2006/main">
      <t xml:space="preserve"> - d</t>
    </r>
    <r xmlns="http://schemas.openxmlformats.org/spreadsheetml/2006/main">
      <rPr>
        <vertAlign val="subscript"/>
        <sz val="9"/>
        <rFont val="맑은 고딕"/>
        <family val="3"/>
        <charset val="129"/>
      </rPr>
      <t>sc</t>
    </r>
    <r xmlns="http://schemas.openxmlformats.org/spreadsheetml/2006/main">
      <rPr>
        <sz val="9"/>
        <rFont val="맑은 고딕"/>
        <family val="3"/>
        <charset val="129"/>
      </rPr>
      <t xml:space="preserve"> / 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≥ 0.4</t>
    </r>
    <phoneticPr xmlns="http://schemas.openxmlformats.org/spreadsheetml/2006/main" fontId="31" type="noConversion"/>
  </si>
  <si>
    <r xmlns="http://schemas.openxmlformats.org/spreadsheetml/2006/main">
      <t>4.82 (D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c </t>
    </r>
    <r xmlns="http://schemas.openxmlformats.org/spreadsheetml/2006/main">
      <rPr>
        <sz val="9"/>
        <rFont val="맑은 고딕"/>
        <family val="3"/>
        <charset val="129"/>
      </rPr>
      <t>/ d</t>
    </r>
    <r xmlns="http://schemas.openxmlformats.org/spreadsheetml/2006/main">
      <rPr>
        <vertAlign val="subscript"/>
        <sz val="9"/>
        <rFont val="맑은 고딕"/>
        <family val="3"/>
        <charset val="129"/>
      </rPr>
      <t>sc</t>
    </r>
    <r xmlns="http://schemas.openxmlformats.org/spreadsheetml/2006/main">
      <rPr>
        <sz val="9"/>
        <rFont val="맑은 고딕"/>
        <family val="3"/>
        <charset val="129"/>
      </rPr>
      <t>)</t>
    </r>
    <r xmlns="http://schemas.openxmlformats.org/spreadsheetml/2006/main">
      <rPr>
        <vertAlign val="superscript"/>
        <sz val="9"/>
        <rFont val="맑은 고딕"/>
        <family val="3"/>
        <charset val="129"/>
      </rPr>
      <t>2.5</t>
    </r>
    <r xmlns="http://schemas.openxmlformats.org/spreadsheetml/2006/main">
      <rPr>
        <sz val="9"/>
        <rFont val="맑은 고딕"/>
        <family val="3"/>
        <charset val="129"/>
      </rPr>
      <t xml:space="preserve"> (1 - </t>
    </r>
    <r xmlns="http://schemas.openxmlformats.org/spreadsheetml/2006/main">
      <rPr>
        <sz val="9"/>
        <rFont val="Calibri"/>
        <family val="3"/>
        <charset val="161"/>
      </rPr>
      <t>Ψ</t>
    </r>
    <r xmlns="http://schemas.openxmlformats.org/spreadsheetml/2006/main">
      <rPr>
        <sz val="9.5500000000000007"/>
        <rFont val="맑은 고딕"/>
        <family val="3"/>
        <charset val="129"/>
      </rPr>
      <t>)</t>
    </r>
    <r xmlns="http://schemas.openxmlformats.org/spreadsheetml/2006/main">
      <rPr>
        <vertAlign val="superscript"/>
        <sz val="9.5500000000000007"/>
        <rFont val="맑은 고딕"/>
        <family val="3"/>
        <charset val="129"/>
      </rPr>
      <t>2.7</t>
    </r>
    <phoneticPr xmlns="http://schemas.openxmlformats.org/spreadsheetml/2006/main" fontId="31" type="noConversion"/>
  </si>
  <si>
    <r xmlns="http://schemas.openxmlformats.org/spreadsheetml/2006/main">
      <rPr>
        <sz val="9"/>
        <rFont val="Calibri"/>
        <family val="3"/>
        <charset val="161"/>
      </rPr>
      <t>Ψ</t>
    </r>
    <r xmlns="http://schemas.openxmlformats.org/spreadsheetml/2006/main">
      <rPr>
        <sz val="9"/>
        <rFont val="맑은 고딕"/>
        <family val="3"/>
        <charset val="129"/>
      </rPr>
      <t xml:space="preserve"> &lt; -1.0</t>
    </r>
    <phoneticPr xmlns="http://schemas.openxmlformats.org/spreadsheetml/2006/main" fontId="31" type="noConversion"/>
  </si>
  <si>
    <r xmlns="http://schemas.openxmlformats.org/spreadsheetml/2006/main">
      <t xml:space="preserve">247.8 (1 - </t>
    </r>
    <r xmlns="http://schemas.openxmlformats.org/spreadsheetml/2006/main">
      <rPr>
        <sz val="9"/>
        <rFont val="Calibri"/>
        <family val="3"/>
        <charset val="161"/>
      </rPr>
      <t>Ψ</t>
    </r>
    <r xmlns="http://schemas.openxmlformats.org/spreadsheetml/2006/main">
      <rPr>
        <sz val="9.5500000000000007"/>
        <rFont val="맑은 고딕"/>
        <family val="3"/>
        <charset val="129"/>
      </rPr>
      <t>)</t>
    </r>
    <r xmlns="http://schemas.openxmlformats.org/spreadsheetml/2006/main">
      <rPr>
        <vertAlign val="superscript"/>
        <sz val="9.5500000000000007"/>
        <rFont val="맑은 고딕"/>
        <family val="3"/>
        <charset val="129"/>
      </rPr>
      <t>0.32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</si>
  <si>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sc</t>
    </r>
    <phoneticPr xmlns="http://schemas.openxmlformats.org/spreadsheetml/2006/main" fontId="31" type="noConversion"/>
  </si>
  <si>
    <t>distance between the center of the two longitudinal stiffeners and the inner surface</t>
  </si>
  <si>
    <t xml:space="preserve"> of the compression flange</t>
  </si>
  <si>
    <t>Ψ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</si>
  <si>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/ f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: stress ratio in the web panel</t>
    </r>
    <phoneticPr xmlns="http://schemas.openxmlformats.org/spreadsheetml/2006/main" fontId="31" type="noConversion"/>
  </si>
  <si>
    <t>In this case, the distances between the first and second stiffener to the inner surface of the</t>
  </si>
  <si>
    <r xmlns="http://schemas.openxmlformats.org/spreadsheetml/2006/main">
      <t xml:space="preserve"> compression  flange are taken as 0.14D and 0.36D, thus, d</t>
    </r>
    <r xmlns="http://schemas.openxmlformats.org/spreadsheetml/2006/main">
      <rPr>
        <vertAlign val="subscript"/>
        <sz val="9"/>
        <rFont val="맑은 고딕"/>
        <family val="3"/>
        <charset val="129"/>
      </rPr>
      <t>sc</t>
    </r>
    <r xmlns="http://schemas.openxmlformats.org/spreadsheetml/2006/main">
      <rPr>
        <sz val="9"/>
        <rFont val="맑은 고딕"/>
        <family val="3"/>
        <charset val="129"/>
      </rPr>
      <t xml:space="preserve"> would be 0.25D </t>
    </r>
  </si>
  <si>
    <t>Classification of web: S - slender web; C - compact or noncompact web</t>
  </si>
  <si>
    <t>Table 7.1.11. Checking web bend-buckling resistance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</si>
  <si>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bu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</si>
  <si>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</si>
  <si>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crw</t>
    </r>
    <phoneticPr xmlns="http://schemas.openxmlformats.org/spreadsheetml/2006/main" fontId="31" type="noConversion"/>
  </si>
  <si>
    <t>상면</t>
  </si>
  <si>
    <t>하면</t>
  </si>
  <si>
    <t>7.1.3. Web checking</t>
  </si>
  <si>
    <r xmlns="http://schemas.openxmlformats.org/spreadsheetml/2006/main">
      <t>V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ui</t>
    </r>
    <r xmlns="http://schemas.openxmlformats.org/spreadsheetml/2006/main">
      <rPr>
        <b/>
        <sz val="9"/>
        <rFont val="맑은 고딕"/>
        <family val="3"/>
        <charset val="129"/>
      </rPr>
      <t xml:space="preserve"> ≤ </t>
    </r>
    <r xmlns="http://schemas.openxmlformats.org/spreadsheetml/2006/main">
      <rPr>
        <b/>
        <sz val="9"/>
        <rFont val="Calibri"/>
        <family val="3"/>
        <charset val="161"/>
      </rPr>
      <t>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v</t>
    </r>
    <r xmlns="http://schemas.openxmlformats.org/spreadsheetml/2006/main">
      <rPr>
        <b/>
        <sz val="9"/>
        <rFont val="맑은 고딕"/>
        <family val="3"/>
        <charset val="129"/>
      </rPr>
      <t>V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</t>
    </r>
    <phoneticPr xmlns="http://schemas.openxmlformats.org/spreadsheetml/2006/main" fontId="28" type="noConversion"/>
  </si>
  <si>
    <t>4.3.3.2.3.3</t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</si>
  <si>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ui</t>
    </r>
    <r xmlns="http://schemas.openxmlformats.org/spreadsheetml/2006/main">
      <rPr>
        <sz val="9"/>
        <rFont val="맑은 고딕"/>
        <family val="3"/>
        <charset val="129"/>
      </rPr>
      <t xml:space="preserve"> = V</t>
    </r>
    <r xmlns="http://schemas.openxmlformats.org/spreadsheetml/2006/main">
      <rPr>
        <vertAlign val="subscript"/>
        <sz val="9"/>
        <rFont val="맑은 고딕"/>
        <family val="3"/>
        <charset val="129"/>
      </rPr>
      <t>u</t>
    </r>
    <r xmlns="http://schemas.openxmlformats.org/spreadsheetml/2006/main">
      <rPr>
        <sz val="9"/>
        <rFont val="맑은 고딕"/>
        <family val="3"/>
        <charset val="129"/>
      </rPr>
      <t>/cos</t>
    </r>
    <r xmlns="http://schemas.openxmlformats.org/spreadsheetml/2006/main">
      <rPr>
        <sz val="9"/>
        <rFont val="Symbol"/>
        <family val="1"/>
        <charset val="2"/>
      </rPr>
      <t>q</t>
    </r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</si>
  <si>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u</t>
    </r>
    <r xmlns="http://schemas.openxmlformats.org/spreadsheetml/2006/main">
      <rPr>
        <sz val="9"/>
        <rFont val="맑은 고딕"/>
        <family val="3"/>
        <charset val="129"/>
      </rPr>
      <t xml:space="preserve"> = V/2 =  경사진 웨브 1개에 작용하는 계수하중에 의한 전단력</t>
    </r>
    <phoneticPr xmlns="http://schemas.openxmlformats.org/spreadsheetml/2006/main" fontId="31" type="noConversion"/>
  </si>
  <si>
    <r xmlns="http://schemas.openxmlformats.org/spreadsheetml/2006/main">
      <rPr>
        <sz val="9"/>
        <rFont val="Symbol"/>
        <family val="1"/>
        <charset val="2"/>
      </rPr>
      <t>q</t>
    </r>
    <r xmlns="http://schemas.openxmlformats.org/spreadsheetml/2006/main">
      <rPr>
        <sz val="9"/>
        <rFont val="맑은 고딕"/>
        <family val="3"/>
        <charset val="129"/>
      </rPr>
      <t xml:space="preserve"> = 연직축에 대한 웨브의 경사각</t>
    </r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</si>
  <si>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= V</t>
    </r>
    <r xmlns="http://schemas.openxmlformats.org/spreadsheetml/2006/main">
      <rPr>
        <vertAlign val="subscript"/>
        <sz val="9"/>
        <rFont val="맑은 고딕"/>
        <family val="3"/>
        <charset val="129"/>
      </rPr>
      <t>cr</t>
    </r>
    <r xmlns="http://schemas.openxmlformats.org/spreadsheetml/2006/main">
      <rPr>
        <sz val="9"/>
        <rFont val="맑은 고딕"/>
        <family val="3"/>
        <charset val="129"/>
      </rPr>
      <t xml:space="preserve"> = CV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</si>
  <si>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= 0.58F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Dt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</si>
  <si>
    <t>Calculation of C</t>
  </si>
  <si>
    <t>C</t>
  </si>
  <si>
    <r xmlns="http://schemas.openxmlformats.org/spreadsheetml/2006/main">
      <t>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≤ 1.12√(Ek/F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</si>
  <si>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1.12√(Ek/F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 &lt; 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≤ 1.40√(Ek/F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 xml:space="preserve">) </t>
    </r>
    <phoneticPr xmlns="http://schemas.openxmlformats.org/spreadsheetml/2006/main" fontId="31" type="noConversion"/>
  </si>
  <si>
    <r xmlns="http://schemas.openxmlformats.org/spreadsheetml/2006/main">
      <t>1.12/(D/t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)√(Ek/F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</si>
  <si>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&gt;</t>
    </r>
    <r xmlns="http://schemas.openxmlformats.org/spreadsheetml/2006/main">
      <rPr>
        <sz val="9"/>
        <rFont val="맑은 고딕"/>
        <family val="3"/>
        <charset val="129"/>
      </rPr>
      <t xml:space="preserve"> 1.40√(Ek/F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</si>
  <si>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1.57(Ek/F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)/(D/t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phoneticPr xmlns="http://schemas.openxmlformats.org/spreadsheetml/2006/main" fontId="31" type="noConversion"/>
  </si>
  <si>
    <r xmlns="http://schemas.openxmlformats.org/spreadsheetml/2006/main">
      <t>k = 5+5/(d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r xmlns="http://schemas.openxmlformats.org/spreadsheetml/2006/main">
      <rPr>
        <sz val="9"/>
        <rFont val="맑은 고딕"/>
        <family val="3"/>
        <charset val="129"/>
      </rPr>
      <t>/D)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</si>
  <si>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o</t>
    </r>
    <r xmlns="http://schemas.openxmlformats.org/spreadsheetml/2006/main">
      <rPr>
        <sz val="9"/>
        <rFont val="맑은 고딕"/>
        <family val="3"/>
        <charset val="129"/>
      </rPr>
      <t xml:space="preserve"> = 수직보강재 간격</t>
    </r>
    <phoneticPr xmlns="http://schemas.openxmlformats.org/spreadsheetml/2006/main" fontId="31" type="noConversion"/>
  </si>
  <si>
    <t>Table 7.1.12. Checking web shear</t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</si>
  <si>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u</t>
    </r>
    <phoneticPr xmlns="http://schemas.openxmlformats.org/spreadsheetml/2006/main" fontId="31" type="noConversion"/>
  </si>
  <si>
    <t>cosθ</t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</si>
  <si>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ui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</si>
  <si>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phoneticPr xmlns="http://schemas.openxmlformats.org/spreadsheetml/2006/main" fontId="31" type="noConversion"/>
  </si>
  <si>
    <r xmlns="http://schemas.openxmlformats.org/spreadsheetml/2006/main">
      <t>H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phoneticPr xmlns="http://schemas.openxmlformats.org/spreadsheetml/2006/main" fontId="31" type="noConversion"/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</si>
  <si>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phoneticPr xmlns="http://schemas.openxmlformats.org/spreadsheetml/2006/main" fontId="31" type="noConversion"/>
  </si>
  <si>
    <r xmlns="http://schemas.openxmlformats.org/spreadsheetml/2006/main">
      <t>Φ</t>
    </r>
    <r xmlns="http://schemas.openxmlformats.org/spreadsheetml/2006/main">
      <rPr>
        <vertAlign val="subscript"/>
        <sz val="9"/>
        <rFont val="맑은 고딕"/>
        <family val="3"/>
        <charset val="129"/>
      </rPr>
      <t>v</t>
    </r>
    <r xmlns="http://schemas.openxmlformats.org/spreadsheetml/2006/main">
      <rPr>
        <sz val="9"/>
        <rFont val="맑은 고딕"/>
        <family val="3"/>
        <charset val="129"/>
      </rPr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phoneticPr xmlns="http://schemas.openxmlformats.org/spreadsheetml/2006/main" fontId="31" type="noConversion"/>
  </si>
  <si>
    <t>7.2. 강도한계상태</t>
  </si>
  <si>
    <t>연성요</t>
  </si>
  <si>
    <r xmlns="http://schemas.openxmlformats.org/spreadsheetml/2006/main">
      <t>D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b/>
        <sz val="9"/>
        <rFont val="맑은 고딕"/>
        <family val="3"/>
        <charset val="129"/>
      </rPr>
      <t xml:space="preserve"> ≤ 0.42D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t</t>
    </r>
    <phoneticPr xmlns="http://schemas.openxmlformats.org/spreadsheetml/2006/main" fontId="31" type="noConversion"/>
  </si>
  <si>
    <t>강.설 4.3-158</t>
  </si>
  <si>
    <t>콘크리트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</si>
  <si>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deck</t>
    </r>
    <r xmlns="http://schemas.openxmlformats.org/spreadsheetml/2006/main">
      <rPr>
        <b/>
        <sz val="9"/>
        <rFont val="맑은 고딕"/>
        <family val="3"/>
        <charset val="129"/>
      </rPr>
      <t xml:space="preserve"> ≤ 0.6f'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c</t>
    </r>
    <phoneticPr xmlns="http://schemas.openxmlformats.org/spreadsheetml/2006/main" fontId="31" type="noConversion"/>
  </si>
  <si>
    <t>강.설 4.3.3.2.7.2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</si>
  <si>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bot con'c</t>
    </r>
    <r xmlns="http://schemas.openxmlformats.org/spreadsheetml/2006/main">
      <rPr>
        <b/>
        <sz val="9"/>
        <rFont val="맑은 고딕"/>
        <family val="3"/>
        <charset val="129"/>
      </rPr>
      <t xml:space="preserve"> ≤ 0.6f'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c</t>
    </r>
  </si>
  <si>
    <t>Flexure (Non-compact section)</t>
  </si>
  <si>
    <t>강.설 4.3-254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</si>
  <si>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 xml:space="preserve"> ≤ </t>
    </r>
    <r xmlns="http://schemas.openxmlformats.org/spreadsheetml/2006/main">
      <rPr>
        <b/>
        <sz val="9"/>
        <rFont val="Calibri"/>
        <family val="3"/>
        <charset val="161"/>
      </rPr>
      <t>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nc</t>
    </r>
    <phoneticPr xmlns="http://schemas.openxmlformats.org/spreadsheetml/2006/main" fontId="31" type="noConversion"/>
  </si>
  <si>
    <t>강.설 4.3-255</t>
  </si>
  <si>
    <t>Flexure (Compact section)</t>
  </si>
  <si>
    <r xmlns="http://schemas.openxmlformats.org/spreadsheetml/2006/main">
      <t>M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u</t>
    </r>
    <r xmlns="http://schemas.openxmlformats.org/spreadsheetml/2006/main">
      <rPr>
        <b/>
        <sz val="9"/>
        <rFont val="맑은 고딕"/>
        <family val="3"/>
        <charset val="129"/>
      </rPr>
      <t xml:space="preserve"> ≤ </t>
    </r>
    <r xmlns="http://schemas.openxmlformats.org/spreadsheetml/2006/main">
      <rPr>
        <b/>
        <sz val="9"/>
        <rFont val="Calibri"/>
        <family val="3"/>
        <charset val="161"/>
      </rPr>
      <t>Φ</t>
    </r>
    <r xmlns="http://schemas.openxmlformats.org/spreadsheetml/2006/main">
      <rPr>
        <b/>
        <vertAlign val="subscript"/>
        <sz val="9"/>
        <rFont val="Calibri Light"/>
        <family val="3"/>
        <charset val="129"/>
        <scheme val="major"/>
      </rPr>
      <t>f</t>
    </r>
    <r xmlns="http://schemas.openxmlformats.org/spreadsheetml/2006/main">
      <rPr>
        <b/>
        <sz val="9"/>
        <rFont val="맑은 고딕"/>
        <family val="3"/>
        <charset val="129"/>
      </rPr>
      <t>M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</t>
    </r>
    <phoneticPr xmlns="http://schemas.openxmlformats.org/spreadsheetml/2006/main" fontId="31" type="noConversion"/>
  </si>
  <si>
    <t>강.설 4.3-253</t>
  </si>
  <si>
    <t>웨브</t>
  </si>
  <si>
    <r xmlns="http://schemas.openxmlformats.org/spreadsheetml/2006/main">
      <t>V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ui</t>
    </r>
    <r xmlns="http://schemas.openxmlformats.org/spreadsheetml/2006/main">
      <rPr>
        <b/>
        <sz val="9"/>
        <rFont val="맑은 고딕"/>
        <family val="3"/>
        <charset val="129"/>
      </rPr>
      <t xml:space="preserve"> ≤ </t>
    </r>
    <r xmlns="http://schemas.openxmlformats.org/spreadsheetml/2006/main">
      <rPr>
        <b/>
        <sz val="9"/>
        <rFont val="Calibri"/>
        <family val="3"/>
        <charset val="161"/>
      </rPr>
      <t>Φ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v</t>
    </r>
    <r xmlns="http://schemas.openxmlformats.org/spreadsheetml/2006/main">
      <rPr>
        <b/>
        <sz val="9"/>
        <rFont val="맑은 고딕"/>
        <family val="3"/>
        <charset val="129"/>
      </rPr>
      <t>V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</t>
    </r>
    <phoneticPr xmlns="http://schemas.openxmlformats.org/spreadsheetml/2006/main" fontId="31" type="noConversion"/>
  </si>
  <si>
    <t>강.설 4.3-179</t>
  </si>
  <si>
    <r xmlns="http://schemas.openxmlformats.org/spreadsheetml/2006/main">
      <rPr>
        <sz val="9"/>
        <rFont val="Segoe UI Symbol"/>
        <family val="3"/>
      </rPr>
      <t xml:space="preserve">① = fbu </t>
    </r>
    <r xmlns="http://schemas.openxmlformats.org/spreadsheetml/2006/main">
      <rPr>
        <sz val="9"/>
        <rFont val="맑은 고딕"/>
        <family val="3"/>
        <charset val="129"/>
      </rPr>
      <t>플랜지 인장응력</t>
    </r>
    <phoneticPr xmlns="http://schemas.openxmlformats.org/spreadsheetml/2006/main" fontId="28" type="noConversion"/>
  </si>
  <si>
    <t>② = fbu 플랜지 압축응력</t>
  </si>
  <si>
    <t>③ = fdeck 바닥판 압축응력</t>
  </si>
  <si>
    <t>④ = fbot 내부 con'c 압축응력</t>
  </si>
  <si>
    <t>⑤ = fs 철근 인장응력</t>
  </si>
  <si>
    <t>7.2.1. YPNA, MP for plastic moment 산정</t>
  </si>
  <si>
    <t>강.설 B.1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</si>
  <si>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</si>
  <si>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yt</t>
    </r>
    <r xmlns="http://schemas.openxmlformats.org/spreadsheetml/2006/main">
      <rPr>
        <sz val="9"/>
        <rFont val="맑은 고딕"/>
        <family val="3"/>
        <charset val="129"/>
      </rPr>
      <t>b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</si>
  <si>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</si>
  <si>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b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</si>
  <si>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</si>
  <si>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r xmlns="http://schemas.openxmlformats.org/spreadsheetml/2006/main">
      <t>2F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(D/cosθ)t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</si>
  <si>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</si>
  <si>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r xmlns="http://schemas.openxmlformats.org/spreadsheetml/2006/main">
      <t>0.85f'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phoneticPr xmlns="http://schemas.openxmlformats.org/spreadsheetml/2006/main" fontId="31" type="noConversion"/>
  </si>
  <si>
    <t>Bottom concrete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</si>
  <si>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</si>
  <si>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r xmlns="http://schemas.openxmlformats.org/spreadsheetml/2006/main">
      <t>0.85f'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b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phoneticPr xmlns="http://schemas.openxmlformats.org/spreadsheetml/2006/main" fontId="31" type="noConversion"/>
  </si>
  <si>
    <t>Deck concrete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</si>
  <si>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</si>
  <si>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yrt</t>
    </r>
    <r xmlns="http://schemas.openxmlformats.org/spreadsheetml/2006/main">
      <rPr>
        <sz val="9"/>
        <rFont val="맑은 고딕"/>
        <family val="3"/>
        <charset val="129"/>
      </rPr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</si>
  <si>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t>Top rebar in deck slab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</si>
  <si>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</si>
  <si>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yrb</t>
    </r>
    <r xmlns="http://schemas.openxmlformats.org/spreadsheetml/2006/main">
      <rPr>
        <sz val="9"/>
        <rFont val="맑은 고딕"/>
        <family val="3"/>
        <charset val="129"/>
      </rPr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phoneticPr xmlns="http://schemas.openxmlformats.org/spreadsheetml/2006/main" fontId="31" type="noConversion"/>
  </si>
  <si>
    <t>Bottom rebar in deck slab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</si>
  <si>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</si>
  <si>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yst</t>
    </r>
    <r xmlns="http://schemas.openxmlformats.org/spreadsheetml/2006/main">
      <rPr>
        <sz val="9"/>
        <rFont val="맑은 고딕"/>
        <family val="3"/>
        <charset val="129"/>
      </rPr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phoneticPr xmlns="http://schemas.openxmlformats.org/spreadsheetml/2006/main" fontId="31" type="noConversion"/>
  </si>
  <si>
    <t>Top Rib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</si>
  <si>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</si>
  <si>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ysb</t>
    </r>
    <r xmlns="http://schemas.openxmlformats.org/spreadsheetml/2006/main">
      <rPr>
        <sz val="9"/>
        <rFont val="맑은 고딕"/>
        <family val="3"/>
        <charset val="129"/>
      </rPr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phoneticPr xmlns="http://schemas.openxmlformats.org/spreadsheetml/2006/main" fontId="31" type="noConversion"/>
  </si>
  <si>
    <t>Bottom Rib</t>
  </si>
  <si>
    <r xmlns="http://schemas.openxmlformats.org/spreadsheetml/2006/main">
      <t>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31" type="noConversion"/>
  </si>
  <si>
    <t>Total area of rebar in bottom concrete</t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</si>
  <si>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s,</t>
    </r>
    <r xmlns="http://schemas.openxmlformats.org/spreadsheetml/2006/main">
      <rPr>
        <sz val="9"/>
        <rFont val="맑은 고딕"/>
        <family val="3"/>
        <charset val="129"/>
      </rPr>
      <t xml:space="preserve">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phoneticPr xmlns="http://schemas.openxmlformats.org/spreadsheetml/2006/main" fontId="31" type="noConversion"/>
  </si>
  <si>
    <t>deck slab and haunch 두께</t>
  </si>
  <si>
    <t>web depth</t>
  </si>
  <si>
    <r xmlns="http://schemas.openxmlformats.org/spreadsheetml/2006/main">
      <t>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, 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phoneticPr xmlns="http://schemas.openxmlformats.org/spreadsheetml/2006/main" fontId="31" type="noConversion"/>
  </si>
  <si>
    <t>Top rib and bottom rib depth</t>
  </si>
  <si>
    <r xmlns="http://schemas.openxmlformats.org/spreadsheetml/2006/main">
      <t>C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C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phoneticPr xmlns="http://schemas.openxmlformats.org/spreadsheetml/2006/main" fontId="31" type="noConversion"/>
  </si>
  <si>
    <t>Distance from top deck slab to top the centerline of top/bottom layer rebar</t>
  </si>
  <si>
    <r xmlns="http://schemas.openxmlformats.org/spreadsheetml/2006/main">
      <t>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phoneticPr xmlns="http://schemas.openxmlformats.org/spreadsheetml/2006/main" fontId="31" type="noConversion"/>
  </si>
  <si>
    <t>내부 con'c depth</t>
  </si>
  <si>
    <t>dr</t>
  </si>
  <si>
    <t>Hc/2</t>
  </si>
  <si>
    <t>Distance from bottom concrete rebar to PNA</t>
  </si>
  <si>
    <t>1) 일반 Cases (for I girder)</t>
  </si>
  <si>
    <t>정모멘트</t>
  </si>
  <si>
    <t>Location</t>
  </si>
  <si>
    <r xmlns="http://schemas.openxmlformats.org/spreadsheetml/2006/main">
      <t>조건 / Y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 xml:space="preserve">PNA </t>
    </r>
    <r xmlns="http://schemas.openxmlformats.org/spreadsheetml/2006/main">
      <rPr>
        <b/>
        <sz val="9"/>
        <rFont val="맑은 고딕"/>
        <family val="3"/>
        <charset val="129"/>
      </rPr>
      <t>/ M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P</t>
    </r>
    <phoneticPr xmlns="http://schemas.openxmlformats.org/spreadsheetml/2006/main" fontId="31" type="noConversion"/>
  </si>
  <si>
    <r xmlns="http://schemas.openxmlformats.org/spreadsheetml/2006/main">
      <t>Distance from Y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PNA</t>
    </r>
    <r xmlns="http://schemas.openxmlformats.org/spreadsheetml/2006/main">
      <rPr>
        <b/>
        <sz val="9"/>
        <rFont val="맑은 고딕"/>
        <family val="3"/>
        <charset val="129"/>
      </rPr>
      <t xml:space="preserve"> to parts</t>
    </r>
    <phoneticPr xmlns="http://schemas.openxmlformats.org/spreadsheetml/2006/main" fontId="31" type="noConversion"/>
  </si>
  <si>
    <t>(1)</t>
  </si>
  <si>
    <t>In Web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</si>
  <si>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= Y +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</si>
  <si>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t>조건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</si>
  <si>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sb </t>
    </r>
    <r xmlns="http://schemas.openxmlformats.org/spreadsheetml/2006/main">
      <rPr>
        <sz val="9"/>
        <rFont val="맑은 고딕"/>
        <family val="3"/>
        <charset val="129"/>
      </rPr>
      <t>+ (D-2H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)P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/D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³</t>
    </r>
    <r xmlns="http://schemas.openxmlformats.org/spreadsheetml/2006/main">
      <rPr>
        <sz val="9"/>
        <rFont val="맑은 고딕"/>
        <family val="3"/>
        <charset val="129"/>
      </rPr>
      <t xml:space="preserve">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s 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</si>
  <si>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= D - Y +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</si>
  <si>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= D - Y - 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</si>
  <si>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Y</t>
    </r>
    <r xmlns="http://schemas.openxmlformats.org/spreadsheetml/2006/main">
      <rPr>
        <vertAlign val="subscript"/>
        <sz val="9"/>
        <rFont val="맑은 고딕"/>
        <family val="3"/>
        <charset val="129"/>
      </rPr>
      <t>PNA</t>
    </r>
    <r xmlns="http://schemas.openxmlformats.org/spreadsheetml/2006/main">
      <rPr>
        <sz val="9"/>
        <rFont val="맑은 고딕"/>
        <family val="3"/>
        <charset val="129"/>
      </rPr>
      <t xml:space="preserve"> =</t>
    </r>
    <phoneticPr xmlns="http://schemas.openxmlformats.org/spreadsheetml/2006/main" fontId="28" type="noConversion"/>
  </si>
  <si>
    <r xmlns="http://schemas.openxmlformats.org/spreadsheetml/2006/main">
      <t>D/2 [(P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) /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+ 1] 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</si>
  <si>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= Y - 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</si>
  <si>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s </t>
    </r>
    <r xmlns="http://schemas.openxmlformats.org/spreadsheetml/2006/main">
      <rPr>
        <sz val="9"/>
        <rFont val="맑은 고딕"/>
        <family val="3"/>
        <charset val="129"/>
      </rPr>
      <t>= Y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</si>
  <si>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=</t>
    </r>
    <phoneticPr xmlns="http://schemas.openxmlformats.org/spreadsheetml/2006/main" fontId="28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</si>
  <si>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/ 2 / D [Y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(D-Y)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</si>
  <si>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= Y + th  +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- c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phoneticPr xmlns="http://schemas.openxmlformats.org/spreadsheetml/2006/main" fontId="31" type="noConversion"/>
  </si>
  <si>
    <r xmlns="http://schemas.openxmlformats.org/spreadsheetml/2006/main"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</si>
  <si>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= Y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- c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</si>
  <si>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= D - Y - 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</si>
  <si>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t>(2)</t>
  </si>
  <si>
    <t>In Top Flange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</si>
  <si>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- Y + D +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</si>
  <si>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³</t>
    </r>
    <r xmlns="http://schemas.openxmlformats.org/spreadsheetml/2006/main">
      <rPr>
        <sz val="9"/>
        <rFont val="맑은 고딕"/>
        <family val="3"/>
        <charset val="129"/>
      </rPr>
      <t xml:space="preserve"> 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s 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</si>
  <si>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- Y + D/2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</si>
  <si>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- Y + 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</si>
  <si>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/2 [(P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) /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+ 1] 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</si>
  <si>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- Y + D - 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</si>
  <si>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s </t>
    </r>
    <r xmlns="http://schemas.openxmlformats.org/spreadsheetml/2006/main">
      <rPr>
        <sz val="9"/>
        <rFont val="맑은 고딕"/>
        <family val="3"/>
        <charset val="129"/>
      </rPr>
      <t>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/2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Y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</si>
  <si>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/ 2 /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[Y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(t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- 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 +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</si>
  <si>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- c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Y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</si>
  <si>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- c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+t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Y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</si>
  <si>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- Y + D - 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</si>
  <si>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t>(3)</t>
  </si>
  <si>
    <r xmlns="http://schemas.openxmlformats.org/spreadsheetml/2006/main">
      <t>Below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</si>
  <si>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Y -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</si>
  <si>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³</t>
    </r>
    <r xmlns="http://schemas.openxmlformats.org/spreadsheetml/2006/main">
      <rPr>
        <sz val="9"/>
        <rFont val="맑은 고딕"/>
        <family val="3"/>
        <charset val="129"/>
      </rPr>
      <t xml:space="preserve"> (c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/t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)P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+P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</si>
  <si>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Y + D +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</si>
  <si>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Y + D/2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</si>
  <si>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(P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) /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</si>
  <si>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Y + 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</si>
  <si>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Y + D - 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</si>
  <si>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(Y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/ 2 / t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s </t>
    </r>
    <r xmlns="http://schemas.openxmlformats.org/spreadsheetml/2006/main">
      <rPr>
        <sz val="9"/>
        <rFont val="맑은 고딕"/>
        <family val="3"/>
        <charset val="129"/>
      </rPr>
      <t>)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</si>
  <si>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= Y</t>
    </r>
    <r xmlns="http://schemas.openxmlformats.org/spreadsheetml/2006/main">
      <rPr>
        <sz val="9"/>
        <rFont val="맑은 고딕"/>
        <family val="3"/>
        <charset val="129"/>
      </rPr>
      <t xml:space="preserve"> - c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</si>
  <si>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= Y</t>
    </r>
    <r xmlns="http://schemas.openxmlformats.org/spreadsheetml/2006/main">
      <rPr>
        <sz val="9"/>
        <rFont val="맑은 고딕"/>
        <family val="3"/>
        <charset val="129"/>
      </rPr>
      <t xml:space="preserve"> - c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</si>
  <si>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Y + D - 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</si>
  <si>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t>(4)</t>
  </si>
  <si>
    <r xmlns="http://schemas.openxmlformats.org/spreadsheetml/2006/main">
      <t>At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</si>
  <si>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c 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³</t>
    </r>
    <r xmlns="http://schemas.openxmlformats.org/spreadsheetml/2006/main">
      <rPr>
        <sz val="9"/>
        <rFont val="맑은 고딕"/>
        <family val="3"/>
        <charset val="129"/>
      </rPr>
      <t xml:space="preserve"> (c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/t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)P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</si>
  <si>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c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phoneticPr xmlns="http://schemas.openxmlformats.org/spreadsheetml/2006/main" fontId="31" type="noConversion"/>
  </si>
  <si>
    <r xmlns="http://schemas.openxmlformats.org/spreadsheetml/2006/main">
      <t>(Y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/ 2 /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)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</si>
  <si>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th - Y + D - 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</si>
  <si>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t>(5)</t>
  </si>
  <si>
    <r xmlns="http://schemas.openxmlformats.org/spreadsheetml/2006/main">
      <t>Above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</si>
  <si>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r 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c 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³</t>
    </r>
    <r xmlns="http://schemas.openxmlformats.org/spreadsheetml/2006/main">
      <rPr>
        <sz val="9"/>
        <rFont val="맑은 고딕"/>
        <family val="3"/>
        <charset val="129"/>
      </rPr>
      <t xml:space="preserve"> (c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/t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)P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</si>
  <si>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(P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) /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</si>
  <si>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Y + 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</si>
  <si>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= c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Y</t>
    </r>
    <phoneticPr xmlns="http://schemas.openxmlformats.org/spreadsheetml/2006/main" fontId="31" type="noConversion"/>
  </si>
  <si>
    <t>(6)</t>
  </si>
  <si>
    <r xmlns="http://schemas.openxmlformats.org/spreadsheetml/2006/main">
      <t>At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</si>
  <si>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c 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rb 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³</t>
    </r>
    <r xmlns="http://schemas.openxmlformats.org/spreadsheetml/2006/main">
      <rPr>
        <sz val="9"/>
        <rFont val="맑은 고딕"/>
        <family val="3"/>
        <charset val="129"/>
      </rPr>
      <t xml:space="preserve"> (c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/t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)P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phoneticPr xmlns="http://schemas.openxmlformats.org/spreadsheetml/2006/main" fontId="31" type="noConversion"/>
  </si>
  <si>
    <r xmlns="http://schemas.openxmlformats.org/spreadsheetml/2006/main">
      <t>c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</si>
  <si>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Y + D - H</t>
    </r>
    <r xmlns="http://schemas.openxmlformats.org/spreadsheetml/2006/main">
      <rPr>
        <vertAlign val="sub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</si>
  <si>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Y + H</t>
    </r>
    <r xmlns="http://schemas.openxmlformats.org/spreadsheetml/2006/main">
      <rPr>
        <vertAlign val="subscript"/>
        <sz val="9"/>
        <rFont val="맑은 고딕"/>
        <family val="3"/>
        <charset val="129"/>
      </rPr>
      <t>1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</si>
  <si>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(Y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/ 2 /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)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</si>
  <si>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=c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Y</t>
    </r>
    <phoneticPr xmlns="http://schemas.openxmlformats.org/spreadsheetml/2006/main" fontId="31" type="noConversion"/>
  </si>
  <si>
    <t>(7)</t>
  </si>
  <si>
    <r xmlns="http://schemas.openxmlformats.org/spreadsheetml/2006/main">
      <t>Above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</si>
  <si>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r 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c 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rb 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&lt;</t>
    </r>
    <r xmlns="http://schemas.openxmlformats.org/spreadsheetml/2006/main">
      <rPr>
        <sz val="9"/>
        <rFont val="맑은 고딕"/>
        <family val="3"/>
        <charset val="129"/>
      </rPr>
      <t xml:space="preserve"> (c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/t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)P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</si>
  <si>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(P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) /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</si>
  <si>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= c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- Y</t>
    </r>
    <phoneticPr xmlns="http://schemas.openxmlformats.org/spreadsheetml/2006/main" fontId="31" type="noConversion"/>
  </si>
  <si>
    <t>부모멘트</t>
  </si>
  <si>
    <t>조건 / YPNA / MP</t>
  </si>
  <si>
    <t>(8)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</si>
  <si>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= D - Y +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</si>
  <si>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+(D-H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)P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/D </t>
    </r>
    <r xmlns="http://schemas.openxmlformats.org/spreadsheetml/2006/main">
      <rPr>
        <sz val="9"/>
        <rFont val="Symbol"/>
        <family val="1"/>
        <charset val="2"/>
      </rPr>
      <t>³</t>
    </r>
    <r xmlns="http://schemas.openxmlformats.org/spreadsheetml/2006/main">
      <rPr>
        <sz val="9"/>
        <rFont val="맑은 고딕"/>
        <family val="3"/>
        <charset val="129"/>
      </rPr>
      <t xml:space="preserve">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</t>
    </r>
    <r xmlns="http://schemas.openxmlformats.org/spreadsheetml/2006/main">
      <rPr>
        <sz val="9"/>
        <rFont val="Symbol"/>
        <family val="1"/>
        <charset val="2"/>
      </rPr>
      <t xml:space="preserve"> </t>
    </r>
    <r xmlns="http://schemas.openxmlformats.org/spreadsheetml/2006/main">
      <rPr>
        <sz val="9"/>
        <rFont val="맑은 고딕"/>
        <family val="3"/>
        <charset val="129"/>
      </rPr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</si>
  <si>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= Y +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</si>
  <si>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D/2 [(P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) /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+ 1] 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</si>
  <si>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= Y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- c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</si>
  <si>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/ 2 / D [Y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(D - 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 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+ 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</si>
  <si>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= D - Y - 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</si>
  <si>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t>(9)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</si>
  <si>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- Y + D + t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</si>
  <si>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 xml:space="preserve">³ </t>
    </r>
    <r xmlns="http://schemas.openxmlformats.org/spreadsheetml/2006/main">
      <rPr>
        <sz val="9"/>
        <rFont val="맑은 고딕"/>
        <family val="3"/>
        <charset val="129"/>
      </rPr>
      <t xml:space="preserve">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</si>
  <si>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- Y + D/2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</si>
  <si>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s </t>
    </r>
    <r xmlns="http://schemas.openxmlformats.org/spreadsheetml/2006/main">
      <rPr>
        <sz val="9"/>
        <rFont val="맑은 고딕"/>
        <family val="3"/>
        <charset val="129"/>
      </rPr>
      <t>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/2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Y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</si>
  <si>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/2 [(P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) /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+ 1] 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</si>
  <si>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- Y + D - 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</si>
  <si>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- Y + 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</si>
  <si>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/ 2 /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[Y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(t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- 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 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+ 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</si>
  <si>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c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Y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</si>
  <si>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- c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-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Y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</si>
  <si>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= 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= t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- Y + D - 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/2</t>
    </r>
    <phoneticPr xmlns="http://schemas.openxmlformats.org/spreadsheetml/2006/main" fontId="31" type="noConversion"/>
  </si>
  <si>
    <t>2) Additional Cases (for Box girder)</t>
  </si>
  <si>
    <t>(a)</t>
  </si>
  <si>
    <t>In Top Rib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</si>
  <si>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sb </t>
    </r>
    <r xmlns="http://schemas.openxmlformats.org/spreadsheetml/2006/main">
      <rPr>
        <sz val="9"/>
        <rFont val="맑은 고딕"/>
        <family val="3"/>
        <charset val="129"/>
      </rPr>
      <t>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³</t>
    </r>
    <r xmlns="http://schemas.openxmlformats.org/spreadsheetml/2006/main">
      <rPr>
        <sz val="9"/>
        <rFont val="맑은 고딕"/>
        <family val="3"/>
        <charset val="129"/>
      </rPr>
      <t xml:space="preserve">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s 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</si>
  <si>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28" type="noConversion"/>
  </si>
  <si>
    <r xmlns="http://schemas.openxmlformats.org/spreadsheetml/2006/main">
      <t>2P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/ D + 2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/ 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phoneticPr xmlns="http://schemas.openxmlformats.org/spreadsheetml/2006/main" fontId="28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</si>
  <si>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/ 2 / 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[Y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(H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- 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/2 / D [Y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(D-Y)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</si>
  <si>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= Y + 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- c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</si>
  <si>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28" type="noConversion"/>
  </si>
  <si>
    <t>(b)</t>
  </si>
  <si>
    <t>In Bot Rib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</si>
  <si>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(H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/H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)P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+ (H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/D)P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³</t>
    </r>
    <r xmlns="http://schemas.openxmlformats.org/spreadsheetml/2006/main">
      <rPr>
        <sz val="9"/>
        <rFont val="맑은 고딕"/>
        <family val="3"/>
        <charset val="129"/>
      </rPr>
      <t xml:space="preserve"> (D - 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)P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/D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</t>
    </r>
    <r xmlns="http://schemas.openxmlformats.org/spreadsheetml/2006/main">
      <rPr>
        <sz val="9"/>
        <rFont val="Symbol"/>
        <family val="1"/>
        <charset val="2"/>
      </rPr>
      <t xml:space="preserve"> </t>
    </r>
    <r xmlns="http://schemas.openxmlformats.org/spreadsheetml/2006/main">
      <rPr>
        <sz val="9"/>
        <rFont val="맑은 고딕"/>
        <family val="3"/>
        <charset val="129"/>
      </rPr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</si>
  <si>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DP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>/H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(2D/H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- 1)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28" type="noConversion"/>
  </si>
  <si>
    <r xmlns="http://schemas.openxmlformats.org/spreadsheetml/2006/main">
      <t>2P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/ 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>/H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 2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/ D</t>
    </r>
    <phoneticPr xmlns="http://schemas.openxmlformats.org/spreadsheetml/2006/main" fontId="28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</si>
  <si>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/ 2 / 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[(D-Y)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(H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-D+Y)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/2 / D [Y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(D-Y)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phoneticPr xmlns="http://schemas.openxmlformats.org/spreadsheetml/2006/main" fontId="28" type="noConversion"/>
  </si>
  <si>
    <r xmlns="http://schemas.openxmlformats.org/spreadsheetml/2006/main"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(D-Y)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/ 2 / 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28" type="noConversion"/>
  </si>
  <si>
    <t>(c)</t>
  </si>
  <si>
    <t>In Bot Con'c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</si>
  <si>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+ (H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/D)P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³</t>
    </r>
    <r xmlns="http://schemas.openxmlformats.org/spreadsheetml/2006/main">
      <rPr>
        <sz val="9"/>
        <rFont val="맑은 고딕"/>
        <family val="3"/>
        <charset val="129"/>
      </rPr>
      <t xml:space="preserve"> (D - 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)P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/D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</t>
    </r>
    <r xmlns="http://schemas.openxmlformats.org/spreadsheetml/2006/main">
      <rPr>
        <sz val="9"/>
        <rFont val="Symbol"/>
        <family val="1"/>
        <charset val="2"/>
      </rPr>
      <t xml:space="preserve"> </t>
    </r>
    <r xmlns="http://schemas.openxmlformats.org/spreadsheetml/2006/main">
      <rPr>
        <sz val="9"/>
        <rFont val="맑은 고딕"/>
        <family val="3"/>
        <charset val="129"/>
      </rPr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</si>
  <si>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DP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>/H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28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</si>
  <si>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>/H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 2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/ D</t>
    </r>
    <phoneticPr xmlns="http://schemas.openxmlformats.org/spreadsheetml/2006/main" fontId="28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</si>
  <si>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/2 / D [Y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(D-Y)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 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(D - 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/ 2 / H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phoneticPr xmlns="http://schemas.openxmlformats.org/spreadsheetml/2006/main" fontId="28" type="noConversion"/>
  </si>
  <si>
    <r xmlns="http://schemas.openxmlformats.org/spreadsheetml/2006/main"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28" type="noConversion"/>
  </si>
  <si>
    <t>(d)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</si>
  <si>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 xml:space="preserve">³ </t>
    </r>
    <r xmlns="http://schemas.openxmlformats.org/spreadsheetml/2006/main">
      <rPr>
        <sz val="9"/>
        <rFont val="맑은 고딕"/>
        <family val="3"/>
        <charset val="129"/>
      </rPr>
      <t xml:space="preserve">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</si>
  <si>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-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phoneticPr xmlns="http://schemas.openxmlformats.org/spreadsheetml/2006/main" fontId="28" type="noConversion"/>
  </si>
  <si>
    <r xmlns="http://schemas.openxmlformats.org/spreadsheetml/2006/main">
      <t>2P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>/H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 2 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/ D</t>
    </r>
    <phoneticPr xmlns="http://schemas.openxmlformats.org/spreadsheetml/2006/main" fontId="28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</si>
  <si>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[Y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(D-Y)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 / 2 / D + 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[Y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- (H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- Y)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]/ 2 / H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phoneticPr xmlns="http://schemas.openxmlformats.org/spreadsheetml/2006/main" fontId="28" type="noConversion"/>
  </si>
  <si>
    <r xmlns="http://schemas.openxmlformats.org/spreadsheetml/2006/main">
      <t>+ 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r xmlns="http://schemas.openxmlformats.org/spreadsheetml/2006/main">
      <rPr>
        <sz val="9"/>
        <rFont val="맑은 고딕"/>
        <family val="3"/>
        <charset val="129"/>
      </rPr>
      <t xml:space="preserve"> +  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  <r xmlns="http://schemas.openxmlformats.org/spreadsheetml/2006/main">
      <rPr>
        <sz val="9"/>
        <rFont val="맑은 고딕"/>
        <family val="3"/>
        <charset val="129"/>
      </rPr>
      <t xml:space="preserve"> + 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  <r xmlns="http://schemas.openxmlformats.org/spreadsheetml/2006/main">
      <rPr>
        <sz val="9"/>
        <rFont val="맑은 고딕"/>
        <family val="3"/>
        <charset val="129"/>
      </rPr>
      <t xml:space="preserve"> + ∑P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28" type="noConversion"/>
  </si>
  <si>
    <r xmlns="http://schemas.openxmlformats.org/spreadsheetml/2006/main">
      <t>Table 7.2.1. Calculation Y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PNA</t>
    </r>
    <r xmlns="http://schemas.openxmlformats.org/spreadsheetml/2006/main">
      <rPr>
        <i/>
        <sz val="9"/>
        <rFont val="맑은 고딕"/>
        <family val="3"/>
        <charset val="129"/>
      </rPr>
      <t xml:space="preserve"> and Mp for plastic moment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</si>
  <si>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top</t>
    </r>
    <phoneticPr xmlns="http://schemas.openxmlformats.org/spreadsheetml/2006/main" fontId="28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</si>
  <si>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</si>
  <si>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phoneticPr xmlns="http://schemas.openxmlformats.org/spreadsheetml/2006/main" fontId="28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</si>
  <si>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</si>
  <si>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sb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</si>
  <si>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st</t>
    </r>
    <phoneticPr xmlns="http://schemas.openxmlformats.org/spreadsheetml/2006/main" fontId="31" type="noConversion"/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</si>
  <si>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rb</t>
    </r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</si>
  <si>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rt</t>
    </r>
  </si>
  <si>
    <t>∑Pr</t>
  </si>
  <si>
    <r xmlns="http://schemas.openxmlformats.org/spreadsheetml/2006/main">
      <t>P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</si>
  <si>
    <r xmlns="http://schemas.openxmlformats.org/spreadsheetml/2006/main">
      <t>Y</t>
    </r>
    <r xmlns="http://schemas.openxmlformats.org/spreadsheetml/2006/main">
      <rPr>
        <vertAlign val="subscript"/>
        <sz val="9"/>
        <rFont val="맑은 고딕"/>
        <family val="3"/>
        <charset val="129"/>
      </rPr>
      <t>PNA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</si>
  <si>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phoneticPr xmlns="http://schemas.openxmlformats.org/spreadsheetml/2006/main" fontId="31" type="noConversion"/>
  </si>
  <si>
    <t>location</t>
  </si>
  <si>
    <r xmlns="http://schemas.openxmlformats.org/spreadsheetml/2006/main">
      <t>7.2.2. M</t>
    </r>
    <r xmlns="http://schemas.openxmlformats.org/spreadsheetml/2006/main">
      <rPr>
        <b/>
        <vertAlign val="subscript"/>
        <sz val="9"/>
        <color theme="4" tint="-0.249977111117893"/>
        <rFont val="맑은 고딕"/>
        <family val="3"/>
        <charset val="129"/>
      </rPr>
      <t>y</t>
    </r>
    <r xmlns="http://schemas.openxmlformats.org/spreadsheetml/2006/main">
      <rPr>
        <b/>
        <sz val="9"/>
        <color theme="4" tint="-0.249977111117893"/>
        <rFont val="맑은 고딕"/>
        <family val="3"/>
        <charset val="129"/>
      </rPr>
      <t xml:space="preserve"> 항복모멘트 산정</t>
    </r>
    <phoneticPr xmlns="http://schemas.openxmlformats.org/spreadsheetml/2006/main" fontId="28" type="noConversion"/>
  </si>
  <si>
    <t>강.설 B.2.2</t>
  </si>
  <si>
    <r xmlns="http://schemas.openxmlformats.org/spreadsheetml/2006/main">
      <t>다음 식에서 M</t>
    </r>
    <r xmlns="http://schemas.openxmlformats.org/spreadsheetml/2006/main">
      <rPr>
        <vertAlign val="subscript"/>
        <sz val="9"/>
        <rFont val="맑은 고딕"/>
        <family val="3"/>
        <charset val="129"/>
      </rPr>
      <t>AD</t>
    </r>
    <r xmlns="http://schemas.openxmlformats.org/spreadsheetml/2006/main">
      <rPr>
        <sz val="9"/>
        <rFont val="맑은 고딕"/>
        <family val="3"/>
        <charset val="129"/>
      </rPr>
      <t>를 구한다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</si>
  <si>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phoneticPr xmlns="http://schemas.openxmlformats.org/spreadsheetml/2006/main" fontId="28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</si>
  <si>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D1</t>
    </r>
    <r xmlns="http://schemas.openxmlformats.org/spreadsheetml/2006/main">
      <rPr>
        <sz val="9"/>
        <rFont val="맑은 고딕"/>
        <family val="3"/>
        <charset val="129"/>
      </rPr>
      <t xml:space="preserve"> / S</t>
    </r>
    <r xmlns="http://schemas.openxmlformats.org/spreadsheetml/2006/main">
      <rPr>
        <vertAlign val="subscript"/>
        <sz val="9"/>
        <rFont val="맑은 고딕"/>
        <family val="3"/>
        <charset val="129"/>
      </rPr>
      <t>steel</t>
    </r>
    <r xmlns="http://schemas.openxmlformats.org/spreadsheetml/2006/main">
      <rPr>
        <sz val="9"/>
        <rFont val="맑은 고딕"/>
        <family val="3"/>
        <charset val="129"/>
      </rPr>
      <t xml:space="preserve"> + M</t>
    </r>
    <r xmlns="http://schemas.openxmlformats.org/spreadsheetml/2006/main">
      <rPr>
        <vertAlign val="subscript"/>
        <sz val="9"/>
        <rFont val="맑은 고딕"/>
        <family val="3"/>
        <charset val="129"/>
      </rPr>
      <t>D2</t>
    </r>
    <r xmlns="http://schemas.openxmlformats.org/spreadsheetml/2006/main">
      <rPr>
        <sz val="9"/>
        <rFont val="맑은 고딕"/>
        <family val="3"/>
        <charset val="129"/>
      </rPr>
      <t xml:space="preserve"> / S</t>
    </r>
    <r xmlns="http://schemas.openxmlformats.org/spreadsheetml/2006/main">
      <rPr>
        <vertAlign val="subscript"/>
        <sz val="9"/>
        <rFont val="맑은 고딕"/>
        <family val="3"/>
        <charset val="129"/>
      </rPr>
      <t>bot_con</t>
    </r>
    <r xmlns="http://schemas.openxmlformats.org/spreadsheetml/2006/main">
      <rPr>
        <sz val="9"/>
        <rFont val="맑은 고딕"/>
        <family val="3"/>
        <charset val="129"/>
      </rPr>
      <t xml:space="preserve"> + M</t>
    </r>
    <r xmlns="http://schemas.openxmlformats.org/spreadsheetml/2006/main">
      <rPr>
        <vertAlign val="subscript"/>
        <sz val="9"/>
        <rFont val="맑은 고딕"/>
        <family val="3"/>
        <charset val="129"/>
      </rPr>
      <t>D3</t>
    </r>
    <r xmlns="http://schemas.openxmlformats.org/spreadsheetml/2006/main">
      <rPr>
        <sz val="9"/>
        <rFont val="맑은 고딕"/>
        <family val="3"/>
        <charset val="129"/>
      </rPr>
      <t xml:space="preserve"> / S</t>
    </r>
    <r xmlns="http://schemas.openxmlformats.org/spreadsheetml/2006/main">
      <rPr>
        <vertAlign val="subscript"/>
        <sz val="9"/>
        <rFont val="맑은 고딕"/>
        <family val="3"/>
        <charset val="129"/>
      </rPr>
      <t>longterm</t>
    </r>
    <r xmlns="http://schemas.openxmlformats.org/spreadsheetml/2006/main">
      <rPr>
        <sz val="9"/>
        <rFont val="맑은 고딕"/>
        <family val="3"/>
        <charset val="129"/>
      </rPr>
      <t xml:space="preserve"> + M</t>
    </r>
    <r xmlns="http://schemas.openxmlformats.org/spreadsheetml/2006/main">
      <rPr>
        <vertAlign val="subscript"/>
        <sz val="9"/>
        <rFont val="맑은 고딕"/>
        <family val="3"/>
        <charset val="129"/>
      </rPr>
      <t>AD_C</t>
    </r>
    <r xmlns="http://schemas.openxmlformats.org/spreadsheetml/2006/main">
      <rPr>
        <sz val="9"/>
        <rFont val="맑은 고딕"/>
        <family val="3"/>
        <charset val="129"/>
      </rPr>
      <t xml:space="preserve"> / S</t>
    </r>
    <r xmlns="http://schemas.openxmlformats.org/spreadsheetml/2006/main">
      <rPr>
        <vertAlign val="subscript"/>
        <sz val="9"/>
        <rFont val="맑은 고딕"/>
        <family val="3"/>
        <charset val="129"/>
      </rPr>
      <t>shortterm</t>
    </r>
    <phoneticPr xmlns="http://schemas.openxmlformats.org/spreadsheetml/2006/main" fontId="28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</si>
  <si>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D1</t>
    </r>
    <r xmlns="http://schemas.openxmlformats.org/spreadsheetml/2006/main">
      <rPr>
        <sz val="9"/>
        <rFont val="맑은 고딕"/>
        <family val="3"/>
        <charset val="129"/>
      </rPr>
      <t xml:space="preserve"> / S</t>
    </r>
    <r xmlns="http://schemas.openxmlformats.org/spreadsheetml/2006/main">
      <rPr>
        <vertAlign val="subscript"/>
        <sz val="9"/>
        <rFont val="맑은 고딕"/>
        <family val="3"/>
        <charset val="129"/>
      </rPr>
      <t>steel</t>
    </r>
    <r xmlns="http://schemas.openxmlformats.org/spreadsheetml/2006/main">
      <rPr>
        <sz val="9"/>
        <rFont val="맑은 고딕"/>
        <family val="3"/>
        <charset val="129"/>
      </rPr>
      <t xml:space="preserve"> + M</t>
    </r>
    <r xmlns="http://schemas.openxmlformats.org/spreadsheetml/2006/main">
      <rPr>
        <vertAlign val="subscript"/>
        <sz val="9"/>
        <rFont val="맑은 고딕"/>
        <family val="3"/>
        <charset val="129"/>
      </rPr>
      <t>D2</t>
    </r>
    <r xmlns="http://schemas.openxmlformats.org/spreadsheetml/2006/main">
      <rPr>
        <sz val="9"/>
        <rFont val="맑은 고딕"/>
        <family val="3"/>
        <charset val="129"/>
      </rPr>
      <t xml:space="preserve"> / S</t>
    </r>
    <r xmlns="http://schemas.openxmlformats.org/spreadsheetml/2006/main">
      <rPr>
        <vertAlign val="subscript"/>
        <sz val="9"/>
        <rFont val="맑은 고딕"/>
        <family val="3"/>
        <charset val="129"/>
      </rPr>
      <t>bot_con</t>
    </r>
    <r xmlns="http://schemas.openxmlformats.org/spreadsheetml/2006/main">
      <rPr>
        <sz val="9"/>
        <rFont val="맑은 고딕"/>
        <family val="3"/>
        <charset val="129"/>
      </rPr>
      <t xml:space="preserve"> + M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D3 </t>
    </r>
    <r xmlns="http://schemas.openxmlformats.org/spreadsheetml/2006/main">
      <rPr>
        <sz val="9"/>
        <rFont val="맑은 고딕"/>
        <family val="3"/>
        <charset val="129"/>
      </rPr>
      <t>/ S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longterm </t>
    </r>
    <r xmlns="http://schemas.openxmlformats.org/spreadsheetml/2006/main">
      <rPr>
        <sz val="9"/>
        <rFont val="맑은 고딕"/>
        <family val="3"/>
        <charset val="129"/>
      </rPr>
      <t>+ M</t>
    </r>
    <r xmlns="http://schemas.openxmlformats.org/spreadsheetml/2006/main">
      <rPr>
        <vertAlign val="subscript"/>
        <sz val="9"/>
        <rFont val="맑은 고딕"/>
        <family val="3"/>
        <charset val="129"/>
      </rPr>
      <t>AD_T</t>
    </r>
    <r xmlns="http://schemas.openxmlformats.org/spreadsheetml/2006/main">
      <rPr>
        <sz val="9"/>
        <rFont val="맑은 고딕"/>
        <family val="3"/>
        <charset val="129"/>
      </rPr>
      <t xml:space="preserve"> / S</t>
    </r>
    <r xmlns="http://schemas.openxmlformats.org/spreadsheetml/2006/main">
      <rPr>
        <vertAlign val="subscript"/>
        <sz val="9"/>
        <rFont val="맑은 고딕"/>
        <family val="3"/>
        <charset val="129"/>
      </rPr>
      <t>shortterm</t>
    </r>
    <phoneticPr xmlns="http://schemas.openxmlformats.org/spreadsheetml/2006/main" fontId="28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</si>
  <si>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AD</t>
    </r>
    <phoneticPr xmlns="http://schemas.openxmlformats.org/spreadsheetml/2006/main" fontId="31" type="noConversion"/>
  </si>
  <si>
    <r xmlns="http://schemas.openxmlformats.org/spreadsheetml/2006/main">
      <t>min(M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AD_C </t>
    </r>
    <r xmlns="http://schemas.openxmlformats.org/spreadsheetml/2006/main">
      <rPr>
        <sz val="9"/>
        <rFont val="맑은 고딕"/>
        <family val="3"/>
        <charset val="129"/>
      </rPr>
      <t>; M</t>
    </r>
    <r xmlns="http://schemas.openxmlformats.org/spreadsheetml/2006/main">
      <rPr>
        <vertAlign val="subscript"/>
        <sz val="9"/>
        <rFont val="맑은 고딕"/>
        <family val="3"/>
        <charset val="129"/>
      </rPr>
      <t>AD_T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</si>
  <si>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D1</t>
    </r>
    <r xmlns="http://schemas.openxmlformats.org/spreadsheetml/2006/main">
      <rPr>
        <sz val="9"/>
        <rFont val="맑은 고딕"/>
        <family val="3"/>
        <charset val="129"/>
      </rPr>
      <t xml:space="preserve"> = 1.25(M</t>
    </r>
    <r xmlns="http://schemas.openxmlformats.org/spreadsheetml/2006/main">
      <rPr>
        <vertAlign val="subscript"/>
        <sz val="9"/>
        <rFont val="맑은 고딕"/>
        <family val="3"/>
        <charset val="129"/>
      </rPr>
      <t>DC1</t>
    </r>
    <r xmlns="http://schemas.openxmlformats.org/spreadsheetml/2006/main">
      <rPr>
        <sz val="9"/>
        <rFont val="맑은 고딕"/>
        <family val="3"/>
        <charset val="129"/>
      </rPr>
      <t xml:space="preserve"> + M</t>
    </r>
    <r xmlns="http://schemas.openxmlformats.org/spreadsheetml/2006/main">
      <rPr>
        <vertAlign val="subscript"/>
        <sz val="9"/>
        <rFont val="맑은 고딕"/>
        <family val="3"/>
        <charset val="129"/>
      </rPr>
      <t>DC2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</si>
  <si>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D2</t>
    </r>
    <r xmlns="http://schemas.openxmlformats.org/spreadsheetml/2006/main">
      <rPr>
        <sz val="9"/>
        <rFont val="맑은 고딕"/>
        <family val="3"/>
        <charset val="129"/>
      </rPr>
      <t xml:space="preserve"> = 1.25M</t>
    </r>
    <r xmlns="http://schemas.openxmlformats.org/spreadsheetml/2006/main">
      <rPr>
        <vertAlign val="subscript"/>
        <sz val="9"/>
        <rFont val="맑은 고딕"/>
        <family val="3"/>
        <charset val="129"/>
      </rPr>
      <t>DC3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</si>
  <si>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D3</t>
    </r>
    <r xmlns="http://schemas.openxmlformats.org/spreadsheetml/2006/main">
      <rPr>
        <sz val="9"/>
        <rFont val="맑은 고딕"/>
        <family val="3"/>
        <charset val="129"/>
      </rPr>
      <t xml:space="preserve"> = 1.25M</t>
    </r>
    <r xmlns="http://schemas.openxmlformats.org/spreadsheetml/2006/main">
      <rPr>
        <vertAlign val="subscript"/>
        <sz val="9"/>
        <rFont val="맑은 고딕"/>
        <family val="3"/>
        <charset val="129"/>
      </rPr>
      <t>DC4</t>
    </r>
    <r xmlns="http://schemas.openxmlformats.org/spreadsheetml/2006/main">
      <rPr>
        <sz val="9"/>
        <rFont val="맑은 고딕"/>
        <family val="3"/>
        <charset val="129"/>
      </rPr>
      <t xml:space="preserve"> + 1.50M</t>
    </r>
    <r xmlns="http://schemas.openxmlformats.org/spreadsheetml/2006/main">
      <rPr>
        <vertAlign val="subscript"/>
        <sz val="9"/>
        <rFont val="맑은 고딕"/>
        <family val="3"/>
        <charset val="129"/>
      </rPr>
      <t>DW</t>
    </r>
    <phoneticPr xmlns="http://schemas.openxmlformats.org/spreadsheetml/2006/main" fontId="31" type="noConversion"/>
  </si>
  <si>
    <r xmlns="http://schemas.openxmlformats.org/spreadsheetml/2006/main">
      <t>다음을 M</t>
    </r>
    <r xmlns="http://schemas.openxmlformats.org/spreadsheetml/2006/main">
      <rPr>
        <vertAlign val="subscript"/>
        <sz val="9"/>
        <rFont val="맑은 고딕"/>
        <family val="3"/>
        <charset val="129"/>
      </rPr>
      <t>y</t>
    </r>
    <r xmlns="http://schemas.openxmlformats.org/spreadsheetml/2006/main">
      <rPr>
        <sz val="9"/>
        <rFont val="맑은 고딕"/>
        <family val="3"/>
        <charset val="129"/>
      </rPr>
      <t xml:space="preserve"> 계산한다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</si>
  <si>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y</t>
    </r>
    <r xmlns="http://schemas.openxmlformats.org/spreadsheetml/2006/main">
      <rPr>
        <sz val="9"/>
        <rFont val="맑은 고딕"/>
        <family val="3"/>
        <charset val="129"/>
      </rPr>
      <t xml:space="preserve"> = M</t>
    </r>
    <r xmlns="http://schemas.openxmlformats.org/spreadsheetml/2006/main">
      <rPr>
        <vertAlign val="subscript"/>
        <sz val="9"/>
        <rFont val="맑은 고딕"/>
        <family val="3"/>
        <charset val="129"/>
      </rPr>
      <t>D1</t>
    </r>
    <r xmlns="http://schemas.openxmlformats.org/spreadsheetml/2006/main">
      <rPr>
        <sz val="9"/>
        <rFont val="맑은 고딕"/>
        <family val="3"/>
        <charset val="129"/>
      </rPr>
      <t xml:space="preserve"> + M</t>
    </r>
    <r xmlns="http://schemas.openxmlformats.org/spreadsheetml/2006/main">
      <rPr>
        <vertAlign val="subscript"/>
        <sz val="9"/>
        <rFont val="맑은 고딕"/>
        <family val="3"/>
        <charset val="129"/>
      </rPr>
      <t>D2</t>
    </r>
    <r xmlns="http://schemas.openxmlformats.org/spreadsheetml/2006/main">
      <rPr>
        <sz val="9"/>
        <rFont val="맑은 고딕"/>
        <family val="3"/>
        <charset val="129"/>
      </rPr>
      <t xml:space="preserve"> + M</t>
    </r>
    <r xmlns="http://schemas.openxmlformats.org/spreadsheetml/2006/main">
      <rPr>
        <vertAlign val="subscript"/>
        <sz val="9"/>
        <rFont val="맑은 고딕"/>
        <family val="3"/>
        <charset val="129"/>
      </rPr>
      <t>D3</t>
    </r>
    <r xmlns="http://schemas.openxmlformats.org/spreadsheetml/2006/main">
      <rPr>
        <sz val="9"/>
        <rFont val="맑은 고딕"/>
        <family val="3"/>
        <charset val="129"/>
      </rPr>
      <t xml:space="preserve"> + M</t>
    </r>
    <r xmlns="http://schemas.openxmlformats.org/spreadsheetml/2006/main">
      <rPr>
        <vertAlign val="subscript"/>
        <sz val="9"/>
        <rFont val="맑은 고딕"/>
        <family val="3"/>
        <charset val="129"/>
      </rPr>
      <t>AD</t>
    </r>
    <phoneticPr xmlns="http://schemas.openxmlformats.org/spreadsheetml/2006/main" fontId="31" type="noConversion"/>
  </si>
  <si>
    <r xmlns="http://schemas.openxmlformats.org/spreadsheetml/2006/main">
      <t>Table 7.2.2. Calculation of Yield moment M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 xml:space="preserve">y </t>
    </r>
    <r xmlns="http://schemas.openxmlformats.org/spreadsheetml/2006/main">
      <rPr>
        <i/>
        <sz val="9"/>
        <rFont val="맑은 고딕"/>
        <family val="3"/>
        <charset val="129"/>
      </rPr>
      <t>(1/2)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</si>
  <si>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DC1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</si>
  <si>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DC2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</si>
  <si>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DC3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</si>
  <si>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DC4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</si>
  <si>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DW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</si>
  <si>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D1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</si>
  <si>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D2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</si>
  <si>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D3</t>
    </r>
    <phoneticPr xmlns="http://schemas.openxmlformats.org/spreadsheetml/2006/main" fontId="31" type="noConversion"/>
  </si>
  <si>
    <r xmlns="http://schemas.openxmlformats.org/spreadsheetml/2006/main">
      <t>Table 7.2.2. Calculation of Yield moment M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 xml:space="preserve">y </t>
    </r>
    <r xmlns="http://schemas.openxmlformats.org/spreadsheetml/2006/main">
      <rPr>
        <i/>
        <sz val="9"/>
        <rFont val="맑은 고딕"/>
        <family val="3"/>
        <charset val="129"/>
      </rPr>
      <t>(2/2)</t>
    </r>
    <phoneticPr xmlns="http://schemas.openxmlformats.org/spreadsheetml/2006/main" fontId="31" type="noConversion"/>
  </si>
  <si>
    <t>단면계수 (인장플랜지)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</si>
  <si>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AD_T</t>
    </r>
    <phoneticPr xmlns="http://schemas.openxmlformats.org/spreadsheetml/2006/main" fontId="31" type="noConversion"/>
  </si>
  <si>
    <t>단면계수 (압축플랜지)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</si>
  <si>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AD_C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</si>
  <si>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y</t>
    </r>
    <phoneticPr xmlns="http://schemas.openxmlformats.org/spreadsheetml/2006/main" fontId="31" type="noConversion"/>
  </si>
  <si>
    <t>Compare</t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</si>
  <si>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맑은 고딕"/>
        <family val="3"/>
        <charset val="129"/>
      </rPr>
      <t>steel</t>
    </r>
    <phoneticPr xmlns="http://schemas.openxmlformats.org/spreadsheetml/2006/main" fontId="31" type="noConversion"/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</si>
  <si>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phoneticPr xmlns="http://schemas.openxmlformats.org/spreadsheetml/2006/main" fontId="31" type="noConversion"/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</si>
  <si>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맑은 고딕"/>
        <family val="3"/>
        <charset val="129"/>
      </rPr>
      <t>longterm</t>
    </r>
    <phoneticPr xmlns="http://schemas.openxmlformats.org/spreadsheetml/2006/main" fontId="31" type="noConversion"/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</si>
  <si>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맑은 고딕"/>
        <family val="3"/>
        <charset val="129"/>
      </rPr>
      <t>shorttime</t>
    </r>
    <phoneticPr xmlns="http://schemas.openxmlformats.org/spreadsheetml/2006/main" fontId="31" type="noConversion"/>
  </si>
  <si>
    <t>to Mp</t>
  </si>
  <si>
    <t>7.2.3. 연성 요구조건</t>
  </si>
  <si>
    <t>강.설 4.3.3.1.7.3</t>
  </si>
  <si>
    <t>공칭항복강도 690MPa 균질 합성단면 or 상부 및 하부플랜지의 공칭항복강도 690MPa</t>
  </si>
  <si>
    <r xmlns="http://schemas.openxmlformats.org/spreadsheetml/2006/main">
      <t>D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b/>
        <sz val="9"/>
        <rFont val="맑은 고딕"/>
        <family val="3"/>
        <charset val="129"/>
      </rPr>
      <t xml:space="preserve"> ≤ 0.3D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t</t>
    </r>
    <phoneticPr xmlns="http://schemas.openxmlformats.org/spreadsheetml/2006/main" fontId="31" type="noConversion"/>
  </si>
  <si>
    <t>그 밖의 단면인 경우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</si>
  <si>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</si>
  <si>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t>합성단면의 전체 높이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</si>
  <si>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</si>
  <si>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t xml:space="preserve">소성모멘트 상태어세 콘크리트 바닥판의 상단에서나 내부 con'c 하단에서 중립축까지의 거리 </t>
  </si>
  <si>
    <t>Table 7.2.3. Checking Ductility Requirement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</si>
  <si>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산정</t>
    </r>
    <phoneticPr xmlns="http://schemas.openxmlformats.org/spreadsheetml/2006/main" fontId="31" type="noConversion"/>
  </si>
  <si>
    <t>전체 높이 산정</t>
  </si>
  <si>
    <r xmlns="http://schemas.openxmlformats.org/spreadsheetml/2006/main">
      <t>0.42D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</si>
  <si>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</si>
  <si>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</si>
  <si>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</si>
  <si>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phoneticPr xmlns="http://schemas.openxmlformats.org/spreadsheetml/2006/main" fontId="31" type="noConversion"/>
  </si>
  <si>
    <t>7.2.4. 콘크리트 응력 검토</t>
  </si>
  <si>
    <r xmlns="http://schemas.openxmlformats.org/spreadsheetml/2006/main">
      <t>콘크리트 종방향 응력을 : 0.6f'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이하</t>
    </r>
    <phoneticPr xmlns="http://schemas.openxmlformats.org/spreadsheetml/2006/main" fontId="31" type="noConversion"/>
  </si>
  <si>
    <t>작용응력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</si>
  <si>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deck</t>
    </r>
    <r xmlns="http://schemas.openxmlformats.org/spreadsheetml/2006/main">
      <rPr>
        <sz val="9"/>
        <rFont val="맑은 고딕"/>
        <family val="3"/>
        <charset val="129"/>
      </rPr>
      <t xml:space="preserve"> = </t>
    </r>
    <phoneticPr xmlns="http://schemas.openxmlformats.org/spreadsheetml/2006/main" fontId="28" type="noConversion"/>
  </si>
  <si>
    <t>1.25DC4 + 1.5DW + 1.8LL</t>
  </si>
  <si>
    <r xmlns="http://schemas.openxmlformats.org/spreadsheetml/2006/main">
      <t>n * S</t>
    </r>
    <r xmlns="http://schemas.openxmlformats.org/spreadsheetml/2006/main">
      <rPr>
        <vertAlign val="subscript"/>
        <sz val="9"/>
        <rFont val="맑은 고딕"/>
        <family val="3"/>
        <charset val="129"/>
      </rPr>
      <t>deck</t>
    </r>
    <phoneticPr xmlns="http://schemas.openxmlformats.org/spreadsheetml/2006/main" fontId="28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</si>
  <si>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 xml:space="preserve"> = </t>
    </r>
    <phoneticPr xmlns="http://schemas.openxmlformats.org/spreadsheetml/2006/main" fontId="28" type="noConversion"/>
  </si>
  <si>
    <t>1.25DC3</t>
  </si>
  <si>
    <r xmlns="http://schemas.openxmlformats.org/spreadsheetml/2006/main">
      <t>n * S</t>
    </r>
    <r xmlns="http://schemas.openxmlformats.org/spreadsheetml/2006/main">
      <rPr>
        <vertAlign val="subscript"/>
        <sz val="9"/>
        <rFont val="맑은 고딕"/>
        <family val="3"/>
        <charset val="129"/>
      </rPr>
      <t>bot1</t>
    </r>
    <phoneticPr xmlns="http://schemas.openxmlformats.org/spreadsheetml/2006/main" fontId="28" type="noConversion"/>
  </si>
  <si>
    <r xmlns="http://schemas.openxmlformats.org/spreadsheetml/2006/main">
      <t>n * S</t>
    </r>
    <r xmlns="http://schemas.openxmlformats.org/spreadsheetml/2006/main">
      <rPr>
        <vertAlign val="subscript"/>
        <sz val="9"/>
        <rFont val="맑은 고딕"/>
        <family val="3"/>
        <charset val="129"/>
      </rPr>
      <t>bot2</t>
    </r>
    <phoneticPr xmlns="http://schemas.openxmlformats.org/spreadsheetml/2006/main" fontId="28" type="noConversion"/>
  </si>
  <si>
    <t>단기 탄성계수 n 사용</t>
  </si>
  <si>
    <t>강.설 4.3.3.1.1.1</t>
  </si>
  <si>
    <r xmlns="http://schemas.openxmlformats.org/spreadsheetml/2006/main">
      <t>n = E / E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phoneticPr xmlns="http://schemas.openxmlformats.org/spreadsheetml/2006/main" fontId="31" type="noConversion"/>
  </si>
  <si>
    <t>구분</t>
  </si>
  <si>
    <t>기준강도</t>
  </si>
  <si>
    <t>한계강도</t>
  </si>
  <si>
    <r xmlns="http://schemas.openxmlformats.org/spreadsheetml/2006/main">
      <t>f'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phoneticPr xmlns="http://schemas.openxmlformats.org/spreadsheetml/2006/main" fontId="31" type="noConversion"/>
  </si>
  <si>
    <r xmlns="http://schemas.openxmlformats.org/spreadsheetml/2006/main">
      <t>0.6f'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phoneticPr xmlns="http://schemas.openxmlformats.org/spreadsheetml/2006/main" fontId="31" type="noConversion"/>
  </si>
  <si>
    <t>슬래블</t>
  </si>
  <si>
    <t>내부 con'c</t>
  </si>
  <si>
    <t>Table 7.2.4. Checking concrete stress</t>
  </si>
  <si>
    <t>부재력 집계</t>
  </si>
  <si>
    <t>단면계수</t>
  </si>
  <si>
    <t>적용응력</t>
  </si>
  <si>
    <r xmlns="http://schemas.openxmlformats.org/spreadsheetml/2006/main">
      <t>1.25DC</t>
    </r>
    <r xmlns="http://schemas.openxmlformats.org/spreadsheetml/2006/main">
      <rPr>
        <vertAlign val="subscript"/>
        <sz val="9"/>
        <rFont val="맑은 고딕"/>
        <family val="3"/>
        <charset val="129"/>
      </rPr>
      <t>3</t>
    </r>
    <phoneticPr xmlns="http://schemas.openxmlformats.org/spreadsheetml/2006/main" fontId="31" type="noConversion"/>
  </si>
  <si>
    <r xmlns="http://schemas.openxmlformats.org/spreadsheetml/2006/main">
      <t>1.25DC</t>
    </r>
    <r xmlns="http://schemas.openxmlformats.org/spreadsheetml/2006/main">
      <rPr>
        <vertAlign val="subscript"/>
        <sz val="9"/>
        <rFont val="맑은 고딕"/>
        <family val="3"/>
        <charset val="129"/>
      </rPr>
      <t>4</t>
    </r>
    <phoneticPr xmlns="http://schemas.openxmlformats.org/spreadsheetml/2006/main" fontId="31" type="noConversion"/>
  </si>
  <si>
    <t>1.5DW</t>
  </si>
  <si>
    <r xmlns="http://schemas.openxmlformats.org/spreadsheetml/2006/main">
      <t>1.8LL</t>
    </r>
    <r xmlns="http://schemas.openxmlformats.org/spreadsheetml/2006/main">
      <rPr>
        <vertAlign val="subscript"/>
        <sz val="9"/>
        <rFont val="맑은 고딕"/>
        <family val="3"/>
        <charset val="129"/>
      </rPr>
      <t>min</t>
    </r>
    <phoneticPr xmlns="http://schemas.openxmlformats.org/spreadsheetml/2006/main" fontId="31" type="noConversion"/>
  </si>
  <si>
    <r xmlns="http://schemas.openxmlformats.org/spreadsheetml/2006/main">
      <t>1.8LL</t>
    </r>
    <r xmlns="http://schemas.openxmlformats.org/spreadsheetml/2006/main">
      <rPr>
        <vertAlign val="subscript"/>
        <sz val="9"/>
        <rFont val="맑은 고딕"/>
        <family val="3"/>
        <charset val="129"/>
      </rPr>
      <t>max</t>
    </r>
    <phoneticPr xmlns="http://schemas.openxmlformats.org/spreadsheetml/2006/main" fontId="31" type="noConversion"/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</si>
  <si>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맑은 고딕"/>
        <family val="3"/>
        <charset val="129"/>
      </rPr>
      <t>bot1</t>
    </r>
    <phoneticPr xmlns="http://schemas.openxmlformats.org/spreadsheetml/2006/main" fontId="31" type="noConversion"/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</si>
  <si>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맑은 고딕"/>
        <family val="3"/>
        <charset val="129"/>
      </rPr>
      <t>bot2</t>
    </r>
    <phoneticPr xmlns="http://schemas.openxmlformats.org/spreadsheetml/2006/main" fontId="31" type="noConversion"/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</si>
  <si>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맑은 고딕"/>
        <family val="3"/>
        <charset val="129"/>
      </rPr>
      <t>deck</t>
    </r>
    <phoneticPr xmlns="http://schemas.openxmlformats.org/spreadsheetml/2006/main" fontId="31" type="noConversion"/>
  </si>
  <si>
    <r xmlns="http://schemas.openxmlformats.org/spreadsheetml/2006/main">
      <t>|f</t>
    </r>
    <r xmlns="http://schemas.openxmlformats.org/spreadsheetml/2006/main">
      <rPr>
        <vertAlign val="subscript"/>
        <sz val="9"/>
        <rFont val="맑은 고딕"/>
        <family val="3"/>
        <charset val="129"/>
      </rPr>
      <t>deck</t>
    </r>
    <r xmlns="http://schemas.openxmlformats.org/spreadsheetml/2006/main">
      <rPr>
        <sz val="9"/>
        <rFont val="맑은 고딕"/>
        <family val="3"/>
        <charset val="129"/>
      </rPr>
      <t>|</t>
    </r>
    <phoneticPr xmlns="http://schemas.openxmlformats.org/spreadsheetml/2006/main" fontId="31" type="noConversion"/>
  </si>
  <si>
    <r xmlns="http://schemas.openxmlformats.org/spreadsheetml/2006/main">
      <t>|f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r xmlns="http://schemas.openxmlformats.org/spreadsheetml/2006/main">
      <rPr>
        <sz val="9"/>
        <rFont val="맑은 고딕"/>
        <family val="3"/>
        <charset val="129"/>
      </rPr>
      <t>|</t>
    </r>
    <phoneticPr xmlns="http://schemas.openxmlformats.org/spreadsheetml/2006/main" fontId="31" type="noConversion"/>
  </si>
  <si>
    <t>Deck</t>
  </si>
  <si>
    <t>Bot con'c</t>
  </si>
  <si>
    <t>7.2.5. Flexure checking</t>
  </si>
  <si>
    <t>Noncompact section</t>
  </si>
  <si>
    <t>Compact section</t>
  </si>
  <si>
    <t>(강.설 4.3-254 &amp; 4.3-263)</t>
  </si>
  <si>
    <t>(강.설 4.3-255 &amp; 4.3-264)</t>
  </si>
  <si>
    <t>(강.설 4.3-253)</t>
  </si>
  <si>
    <r xmlns="http://schemas.openxmlformats.org/spreadsheetml/2006/main">
      <t>1) 플랜지 응력 (f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b/>
        <sz val="9"/>
        <rFont val="맑은 고딕"/>
        <family val="3"/>
        <charset val="129"/>
      </rPr>
      <t>) 산정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</si>
  <si>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bu</t>
    </r>
    <r xmlns="http://schemas.openxmlformats.org/spreadsheetml/2006/main">
      <rPr>
        <sz val="9"/>
        <rFont val="맑은 고딕"/>
        <family val="3"/>
        <charset val="129"/>
      </rPr>
      <t xml:space="preserve"> = 1.25(DC1 + DC2)/S</t>
    </r>
    <r xmlns="http://schemas.openxmlformats.org/spreadsheetml/2006/main">
      <rPr>
        <vertAlign val="subscript"/>
        <sz val="9"/>
        <rFont val="맑은 고딕"/>
        <family val="3"/>
        <charset val="129"/>
      </rPr>
      <t>steel</t>
    </r>
    <r xmlns="http://schemas.openxmlformats.org/spreadsheetml/2006/main">
      <rPr>
        <sz val="9"/>
        <rFont val="맑은 고딕"/>
        <family val="3"/>
        <charset val="129"/>
      </rPr>
      <t xml:space="preserve"> + 1.25DC3/S</t>
    </r>
    <r xmlns="http://schemas.openxmlformats.org/spreadsheetml/2006/main">
      <rPr>
        <vertAlign val="subscript"/>
        <sz val="9"/>
        <rFont val="맑은 고딕"/>
        <family val="3"/>
        <charset val="129"/>
      </rPr>
      <t>bot_con</t>
    </r>
    <r xmlns="http://schemas.openxmlformats.org/spreadsheetml/2006/main">
      <rPr>
        <sz val="9"/>
        <rFont val="맑은 고딕"/>
        <family val="3"/>
        <charset val="129"/>
      </rPr>
      <t xml:space="preserve"> + (1.25DC4 + 1.5DW)/S</t>
    </r>
    <r xmlns="http://schemas.openxmlformats.org/spreadsheetml/2006/main">
      <rPr>
        <vertAlign val="subscript"/>
        <sz val="9"/>
        <rFont val="맑은 고딕"/>
        <family val="3"/>
        <charset val="129"/>
      </rPr>
      <t>longterm</t>
    </r>
    <r xmlns="http://schemas.openxmlformats.org/spreadsheetml/2006/main">
      <rPr>
        <sz val="9"/>
        <rFont val="맑은 고딕"/>
        <family val="3"/>
        <charset val="129"/>
      </rPr>
      <t xml:space="preserve"> + 1.8LL/S</t>
    </r>
    <r xmlns="http://schemas.openxmlformats.org/spreadsheetml/2006/main">
      <rPr>
        <vertAlign val="subscript"/>
        <sz val="9"/>
        <rFont val="맑은 고딕"/>
        <family val="3"/>
        <charset val="129"/>
      </rPr>
      <t>shortterm</t>
    </r>
  </si>
  <si>
    <t>In positive moment</t>
  </si>
  <si>
    <t>In negative moment</t>
  </si>
  <si>
    <t>(강.설 4.3.3.2.7.2(2))</t>
  </si>
  <si>
    <t>(강.설 4.3.3.2.8.2(2))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</si>
  <si>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sz val="9"/>
        <rFont val="맑은 고딕"/>
        <family val="3"/>
        <charset val="129"/>
      </rPr>
      <t xml:space="preserve"> = 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 xml:space="preserve"> </t>
    </r>
  </si>
  <si>
    <t>for Open flange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</si>
  <si>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sz val="9"/>
        <rFont val="맑은 고딕"/>
        <family val="3"/>
        <charset val="129"/>
      </rPr>
      <t xml:space="preserve"> = 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Symbol"/>
        <family val="1"/>
        <charset val="2"/>
      </rPr>
      <t>D</t>
    </r>
  </si>
  <si>
    <t>for Box flange</t>
  </si>
  <si>
    <t>T = 계수하중에 의한 내부토크</t>
  </si>
  <si>
    <r xmlns="http://schemas.openxmlformats.org/spreadsheetml/2006/main"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r xmlns="http://schemas.openxmlformats.org/spreadsheetml/2006/main">
      <rPr>
        <sz val="9"/>
        <rFont val="맑은 고딕"/>
        <family val="3"/>
        <charset val="129"/>
      </rPr>
      <t xml:space="preserve"> = 박스거더 단면의 폐합단면적</t>
    </r>
  </si>
  <si>
    <r xmlns="http://schemas.openxmlformats.org/spreadsheetml/2006/main">
      <t>Calculation of 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 xml:space="preserve"> (Hybrid factor)</t>
    </r>
  </si>
  <si>
    <r xmlns="http://schemas.openxmlformats.org/spreadsheetml/2006/main">
      <t>[12+</t>
    </r>
    <r xmlns="http://schemas.openxmlformats.org/spreadsheetml/2006/main">
      <rPr>
        <sz val="9"/>
        <rFont val="Calibri"/>
        <family val="3"/>
        <charset val="161"/>
      </rPr>
      <t>β</t>
    </r>
    <r xmlns="http://schemas.openxmlformats.org/spreadsheetml/2006/main">
      <rPr>
        <sz val="9"/>
        <rFont val="맑은 고딕"/>
        <family val="3"/>
        <charset val="129"/>
      </rPr>
      <t>(3</t>
    </r>
    <r xmlns="http://schemas.openxmlformats.org/spreadsheetml/2006/main">
      <rPr>
        <sz val="9"/>
        <rFont val="Calibri"/>
        <family val="3"/>
        <charset val="161"/>
      </rPr>
      <t>ρ</t>
    </r>
    <r xmlns="http://schemas.openxmlformats.org/spreadsheetml/2006/main">
      <rPr>
        <sz val="9"/>
        <rFont val="맑은 고딕"/>
        <family val="3"/>
        <charset val="129"/>
      </rPr>
      <t>-</t>
    </r>
    <r xmlns="http://schemas.openxmlformats.org/spreadsheetml/2006/main">
      <rPr>
        <sz val="9"/>
        <rFont val="Calibri"/>
        <family val="3"/>
        <charset val="161"/>
      </rPr>
      <t>ρ</t>
    </r>
    <r xmlns="http://schemas.openxmlformats.org/spreadsheetml/2006/main">
      <rPr>
        <sz val="9"/>
        <rFont val="맑은 고딕"/>
        <family val="3"/>
        <charset val="129"/>
      </rPr>
      <t>³)]/(12+2</t>
    </r>
    <r xmlns="http://schemas.openxmlformats.org/spreadsheetml/2006/main">
      <rPr>
        <sz val="9"/>
        <rFont val="Calibri"/>
        <family val="3"/>
        <charset val="161"/>
      </rPr>
      <t>β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</si>
  <si>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= 단면의 탄성중립축으로 부터 양플린지 안쪽 면까지의 거리 중 큰값</t>
    </r>
  </si>
  <si>
    <r xmlns="http://schemas.openxmlformats.org/spreadsheetml/2006/main"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fn</t>
    </r>
    <r xmlns="http://schemas.openxmlformats.org/spreadsheetml/2006/main">
      <rPr>
        <sz val="9"/>
        <rFont val="맑은 고딕"/>
        <family val="3"/>
        <charset val="129"/>
      </rPr>
      <t xml:space="preserve"> = 플랜지 단면적과 D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방향에 위치한 플랜지 덮개판 면적의 합</t>
    </r>
  </si>
  <si>
    <r xmlns="http://schemas.openxmlformats.org/spreadsheetml/2006/main">
      <t>Calculation of 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 xml:space="preserve"> (Web load shedding factor)</t>
    </r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</si>
  <si>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</si>
  <si>
    <r xmlns="http://schemas.openxmlformats.org/spreadsheetml/2006/main">
      <t>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≤ 150 (300)</t>
    </r>
    <phoneticPr xmlns="http://schemas.openxmlformats.org/spreadsheetml/2006/main" fontId="31" type="noConversion"/>
  </si>
  <si>
    <t>In Positive moment</t>
  </si>
  <si>
    <r xmlns="http://schemas.openxmlformats.org/spreadsheetml/2006/main">
      <t>b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>/(2t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>) ≤ 12</t>
    </r>
    <phoneticPr xmlns="http://schemas.openxmlformats.org/spreadsheetml/2006/main" fontId="31" type="noConversion"/>
  </si>
  <si>
    <r xmlns="http://schemas.openxmlformats.org/spreadsheetml/2006/main">
      <t>b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≤ D/6</t>
    </r>
    <phoneticPr xmlns="http://schemas.openxmlformats.org/spreadsheetml/2006/main" fontId="31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</si>
  <si>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≥ 1.1t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phoneticPr xmlns="http://schemas.openxmlformats.org/spreadsheetml/2006/main" fontId="31" type="noConversion"/>
  </si>
  <si>
    <r xmlns="http://schemas.openxmlformats.org/spreadsheetml/2006/main">
      <t>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≤ 0.95√(Ek/F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</si>
  <si>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t>수평보강재 있음</t>
  </si>
  <si>
    <r xmlns="http://schemas.openxmlformats.org/spreadsheetml/2006/main">
      <t>2D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≤</t>
    </r>
    <r xmlns="http://schemas.openxmlformats.org/spreadsheetml/2006/main">
      <rPr>
        <sz val="9"/>
        <rFont val="Symbol"/>
        <family val="1"/>
        <charset val="2"/>
      </rPr>
      <t xml:space="preserve"> 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rw</t>
    </r>
    <phoneticPr xmlns="http://schemas.openxmlformats.org/spreadsheetml/2006/main" fontId="31" type="noConversion"/>
  </si>
  <si>
    <r xmlns="http://schemas.openxmlformats.org/spreadsheetml/2006/main">
      <t>1 - [a</t>
    </r>
    <r xmlns="http://schemas.openxmlformats.org/spreadsheetml/2006/main">
      <rPr>
        <vertAlign val="subscript"/>
        <sz val="9"/>
        <rFont val="맑은 고딕"/>
        <family val="3"/>
        <charset val="129"/>
      </rPr>
      <t>wc</t>
    </r>
    <r xmlns="http://schemas.openxmlformats.org/spreadsheetml/2006/main">
      <rPr>
        <sz val="9"/>
        <rFont val="맑은 고딕"/>
        <family val="3"/>
        <charset val="129"/>
      </rPr>
      <t xml:space="preserve"> / (1200 + 300a</t>
    </r>
    <r xmlns="http://schemas.openxmlformats.org/spreadsheetml/2006/main">
      <rPr>
        <vertAlign val="subscript"/>
        <sz val="9"/>
        <rFont val="맑은 고딕"/>
        <family val="3"/>
        <charset val="129"/>
      </rPr>
      <t>wc</t>
    </r>
    <r xmlns="http://schemas.openxmlformats.org/spreadsheetml/2006/main">
      <rPr>
        <sz val="9"/>
        <rFont val="맑은 고딕"/>
        <family val="3"/>
        <charset val="129"/>
      </rPr>
      <t>)] (2D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/ 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- 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rw</t>
    </r>
    <r xmlns="http://schemas.openxmlformats.org/spreadsheetml/2006/main">
      <rPr>
        <sz val="9"/>
        <rFont val="맑은 고딕"/>
        <family val="3"/>
        <charset val="129"/>
      </rPr>
      <t xml:space="preserve"> ) ≤ 1.0</t>
    </r>
    <phoneticPr xmlns="http://schemas.openxmlformats.org/spreadsheetml/2006/main" fontId="28" type="noConversion"/>
  </si>
  <si>
    <r xmlns="http://schemas.openxmlformats.org/spreadsheetml/2006/main">
      <t>Since the cross - section proportion limits are satisfied, so 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 xml:space="preserve"> is taken as 1.0</t>
    </r>
    <phoneticPr xmlns="http://schemas.openxmlformats.org/spreadsheetml/2006/main" fontId="31" type="noConversion"/>
  </si>
  <si>
    <t>보강재 없음</t>
  </si>
  <si>
    <r xmlns="http://schemas.openxmlformats.org/spreadsheetml/2006/main">
      <t>9/(D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/D)</t>
    </r>
    <r xmlns="http://schemas.openxmlformats.org/spreadsheetml/2006/main">
      <rPr>
        <vertAlign val="superscript"/>
        <sz val="9"/>
        <rFont val="맑은 고딕"/>
        <family val="3"/>
        <charset val="129"/>
      </rPr>
      <t>²</t>
    </r>
    <phoneticPr xmlns="http://schemas.openxmlformats.org/spreadsheetml/2006/main" fontId="31" type="noConversion"/>
  </si>
  <si>
    <r xmlns="http://schemas.openxmlformats.org/spreadsheetml/2006/main">
      <t>5.17/(d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/D)</t>
    </r>
    <r xmlns="http://schemas.openxmlformats.org/spreadsheetml/2006/main">
      <rPr>
        <vertAlign val="superscript"/>
        <sz val="9"/>
        <rFont val="맑은 고딕"/>
        <family val="3"/>
        <charset val="129"/>
      </rPr>
      <t>²</t>
    </r>
    <r xmlns="http://schemas.openxmlformats.org/spreadsheetml/2006/main">
      <rPr>
        <sz val="9"/>
        <rFont val="맑은 고딕"/>
        <family val="3"/>
        <charset val="129"/>
      </rPr>
      <t xml:space="preserve"> ≥ 9/(D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/D)²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</si>
  <si>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&lt;</t>
    </r>
    <r xmlns="http://schemas.openxmlformats.org/spreadsheetml/2006/main">
      <rPr>
        <sz val="9"/>
        <rFont val="맑은 고딕"/>
        <family val="3"/>
        <charset val="129"/>
      </rPr>
      <t xml:space="preserve"> 0.4</t>
    </r>
  </si>
  <si>
    <r xmlns="http://schemas.openxmlformats.org/spreadsheetml/2006/main">
      <t>11.64/[(D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-d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)/D]</t>
    </r>
    <r xmlns="http://schemas.openxmlformats.org/spreadsheetml/2006/main">
      <rPr>
        <vertAlign val="superscript"/>
        <sz val="9"/>
        <rFont val="맑은 고딕"/>
        <family val="3"/>
        <charset val="129"/>
      </rPr>
      <t>²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</si>
  <si>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= 수평보강재 중심선과 압축플랜지 안쪽면사이의 거리</t>
    </r>
    <phoneticPr xmlns="http://schemas.openxmlformats.org/spreadsheetml/2006/main" fontId="31" type="noConversion"/>
  </si>
  <si>
    <r xmlns="http://schemas.openxmlformats.org/spreadsheetml/2006/main">
      <t>Calculation of a</t>
    </r>
    <r xmlns="http://schemas.openxmlformats.org/spreadsheetml/2006/main">
      <rPr>
        <vertAlign val="subscript"/>
        <sz val="9"/>
        <rFont val="맑은 고딕"/>
        <family val="3"/>
        <charset val="129"/>
      </rPr>
      <t>wc</t>
    </r>
  </si>
  <si>
    <r xmlns="http://schemas.openxmlformats.org/spreadsheetml/2006/main">
      <t>a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wc</t>
    </r>
  </si>
  <si>
    <r xmlns="http://schemas.openxmlformats.org/spreadsheetml/2006/main">
      <t>2D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</si>
  <si>
    <r xmlns="http://schemas.openxmlformats.org/spreadsheetml/2006/main">
      <t>b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sz val="9"/>
        <rFont val="맑은 고딕"/>
        <family val="3"/>
        <charset val="129"/>
      </rPr>
      <t xml:space="preserve"> + b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(1 - f</t>
    </r>
    <r xmlns="http://schemas.openxmlformats.org/spreadsheetml/2006/main">
      <rPr>
        <vertAlign val="subscript"/>
        <sz val="9"/>
        <rFont val="맑은 고딕"/>
        <family val="3"/>
        <charset val="129"/>
      </rPr>
      <t>DC1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)/(3n)</t>
    </r>
  </si>
  <si>
    <r xmlns="http://schemas.openxmlformats.org/spreadsheetml/2006/main">
      <t>2D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/(b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sz val="9"/>
        <rFont val="맑은 고딕"/>
        <family val="3"/>
        <charset val="129"/>
      </rPr>
      <t>)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</si>
  <si>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DC1</t>
    </r>
    <r xmlns="http://schemas.openxmlformats.org/spreadsheetml/2006/main">
      <rPr>
        <sz val="9"/>
        <rFont val="맑은 고딕"/>
        <family val="3"/>
        <charset val="129"/>
      </rPr>
      <t xml:space="preserve"> = compression flange stress caused by factored permanent load applied before composite</t>
    </r>
  </si>
  <si>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rw</t>
    </r>
    <r xmlns="http://schemas.openxmlformats.org/spreadsheetml/2006/main">
      <rPr>
        <sz val="9"/>
        <rFont val="맑은 고딕"/>
        <family val="3"/>
        <charset val="129"/>
      </rPr>
      <t xml:space="preserve">  = 5.7 </t>
    </r>
    <r xmlns="http://schemas.openxmlformats.org/spreadsheetml/2006/main">
      <rPr>
        <sz val="9"/>
        <rFont val="Cambria Math"/>
        <family val="3"/>
      </rPr>
      <t>√</t>
    </r>
    <r xmlns="http://schemas.openxmlformats.org/spreadsheetml/2006/main">
      <rPr>
        <sz val="9"/>
        <rFont val="맑은 고딕"/>
        <family val="3"/>
        <charset val="129"/>
      </rPr>
      <t>(E/F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</si>
  <si>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Calculation of F</t>
    </r>
    <r xmlns="http://schemas.openxmlformats.org/spreadsheetml/2006/main">
      <rPr>
        <vertAlign val="subscript"/>
        <sz val="9"/>
        <rFont val="맑은 고딕"/>
        <family val="3"/>
        <charset val="129"/>
      </rPr>
      <t>cb</t>
    </r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</si>
  <si>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≤ λ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phoneticPr xmlns="http://schemas.openxmlformats.org/spreadsheetml/2006/main" fontId="28" type="noConversion"/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</si>
  <si>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Calibri"/>
        <family val="3"/>
        <charset val="161"/>
      </rPr>
      <t>Δ</t>
    </r>
    <phoneticPr xmlns="http://schemas.openxmlformats.org/spreadsheetml/2006/main" fontId="31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</si>
  <si>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&lt; 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≤ λ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28" type="noConversion"/>
  </si>
  <si>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r xmlns="http://schemas.openxmlformats.org/spreadsheetml/2006/main">
      <rPr>
        <sz val="9"/>
        <rFont val="맑은 고딕"/>
        <family val="3"/>
        <charset val="129"/>
      </rPr>
      <t xml:space="preserve"> &lt; 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phoneticPr xmlns="http://schemas.openxmlformats.org/spreadsheetml/2006/main" fontId="31" type="noConversion"/>
  </si>
  <si>
    <r xmlns="http://schemas.openxmlformats.org/spreadsheetml/2006/main">
      <t>0.9ER</t>
    </r>
    <r xmlns="http://schemas.openxmlformats.org/spreadsheetml/2006/main">
      <rPr>
        <vertAlign val="subscript"/>
        <sz val="9"/>
        <rFont val="맑은 고딕"/>
        <family val="3"/>
        <charset val="129"/>
      </rPr>
      <t>b</t>
    </r>
    <r xmlns="http://schemas.openxmlformats.org/spreadsheetml/2006/main">
      <rPr>
        <sz val="9"/>
        <rFont val="맑은 고딕"/>
        <family val="3"/>
        <charset val="129"/>
      </rPr>
      <t>k/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vertAlign val="superscript"/>
        <sz val="9"/>
        <rFont val="맑은 고딕"/>
        <family val="3"/>
        <charset val="129"/>
      </rPr>
      <t>²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</si>
  <si>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yr</t>
    </r>
    <r xmlns="http://schemas.openxmlformats.org/spreadsheetml/2006/main">
      <rPr>
        <sz val="9"/>
        <rFont val="맑은 고딕"/>
        <family val="3"/>
        <charset val="129"/>
      </rPr>
      <t xml:space="preserve"> = min[(Δ - 0.3)F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 xml:space="preserve"> ; 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]</t>
    </r>
    <phoneticPr xmlns="http://schemas.openxmlformats.org/spreadsheetml/2006/main" fontId="31" type="noConversion"/>
  </si>
  <si>
    <r xmlns="http://schemas.openxmlformats.org/spreadsheetml/2006/main">
      <t>Calculation of F</t>
    </r>
    <r xmlns="http://schemas.openxmlformats.org/spreadsheetml/2006/main">
      <rPr>
        <vertAlign val="subscript"/>
        <sz val="9"/>
        <rFont val="맑은 고딕"/>
        <family val="3"/>
        <charset val="129"/>
      </rPr>
      <t>cv</t>
    </r>
    <r xmlns="http://schemas.openxmlformats.org/spreadsheetml/2006/main">
      <rPr>
        <sz val="9"/>
        <rFont val="맑은 고딕"/>
        <family val="3"/>
        <charset val="129"/>
      </rPr>
      <t xml:space="preserve"> (can be used the values from Constructibility)</t>
    </r>
    <phoneticPr xmlns="http://schemas.openxmlformats.org/spreadsheetml/2006/main" fontId="31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</si>
  <si>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≤ 1.12√(Ek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28" type="noConversion"/>
  </si>
  <si>
    <r xmlns="http://schemas.openxmlformats.org/spreadsheetml/2006/main">
      <t>1.12√(Ek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 xml:space="preserve">) &lt; 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≤ 1.40√(Ek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 xml:space="preserve">) </t>
    </r>
    <phoneticPr xmlns="http://schemas.openxmlformats.org/spreadsheetml/2006/main" fontId="31" type="noConversion"/>
  </si>
  <si>
    <r xmlns="http://schemas.openxmlformats.org/spreadsheetml/2006/main">
      <t>0.65√(F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Ek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)/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phoneticPr xmlns="http://schemas.openxmlformats.org/spreadsheetml/2006/main" fontId="28" type="noConversion"/>
  </si>
  <si>
    <r xmlns="http://schemas.openxmlformats.org/spreadsheetml/2006/main"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&gt; 1.40√(Ek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28" type="noConversion"/>
  </si>
  <si>
    <r xmlns="http://schemas.openxmlformats.org/spreadsheetml/2006/main">
      <t>0.9Ek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</t>
    </r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>²</t>
    </r>
    <phoneticPr xmlns="http://schemas.openxmlformats.org/spreadsheetml/2006/main" fontId="31" type="noConversion"/>
  </si>
  <si>
    <r xmlns="http://schemas.openxmlformats.org/spreadsheetml/2006/main">
      <t>Calculation of k, k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- Plate-buckling coefficient (can be used the values from Constructibility)</t>
    </r>
    <phoneticPr xmlns="http://schemas.openxmlformats.org/spreadsheetml/2006/main" fontId="31" type="noConversion"/>
  </si>
  <si>
    <r xmlns="http://schemas.openxmlformats.org/spreadsheetml/2006/main">
      <t xml:space="preserve">1.0 </t>
    </r>
    <r xmlns="http://schemas.openxmlformats.org/spreadsheetml/2006/main">
      <rPr>
        <sz val="9"/>
        <rFont val="Symbol"/>
        <family val="1"/>
        <charset val="2"/>
      </rPr>
      <t>£</t>
    </r>
    <r xmlns="http://schemas.openxmlformats.org/spreadsheetml/2006/main">
      <rPr>
        <sz val="9"/>
        <rFont val="맑은 고딕"/>
        <family val="3"/>
        <charset val="129"/>
      </rPr>
      <t xml:space="preserve"> [8I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/(wt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vertAlign val="superscript"/>
        <sz val="9"/>
        <rFont val="맑은 고딕"/>
        <family val="3"/>
        <charset val="129"/>
      </rPr>
      <t>3</t>
    </r>
    <r xmlns="http://schemas.openxmlformats.org/spreadsheetml/2006/main">
      <rPr>
        <sz val="9"/>
        <rFont val="맑은 고딕"/>
        <family val="3"/>
        <charset val="129"/>
      </rPr>
      <t>)]</t>
    </r>
    <r xmlns="http://schemas.openxmlformats.org/spreadsheetml/2006/main">
      <rPr>
        <vertAlign val="superscript"/>
        <sz val="9"/>
        <rFont val="맑은 고딕"/>
        <family val="3"/>
        <charset val="129"/>
      </rPr>
      <t xml:space="preserve">1/3 </t>
    </r>
    <r xmlns="http://schemas.openxmlformats.org/spreadsheetml/2006/main">
      <rPr>
        <sz val="9"/>
        <rFont val="Symbol"/>
        <family val="1"/>
        <charset val="2"/>
      </rPr>
      <t>£</t>
    </r>
    <r xmlns="http://schemas.openxmlformats.org/spreadsheetml/2006/main">
      <rPr>
        <sz val="9"/>
        <rFont val="맑은 고딕"/>
        <family val="3"/>
        <charset val="129"/>
      </rPr>
      <t xml:space="preserve"> 4.0</t>
    </r>
  </si>
  <si>
    <r xmlns="http://schemas.openxmlformats.org/spreadsheetml/2006/main">
      <t xml:space="preserve">1.0 </t>
    </r>
    <r xmlns="http://schemas.openxmlformats.org/spreadsheetml/2006/main">
      <rPr>
        <sz val="9"/>
        <rFont val="Symbol"/>
        <family val="1"/>
        <charset val="2"/>
      </rPr>
      <t>£</t>
    </r>
    <r xmlns="http://schemas.openxmlformats.org/spreadsheetml/2006/main">
      <rPr>
        <sz val="9"/>
        <rFont val="맑은 고딕"/>
        <family val="3"/>
        <charset val="129"/>
      </rPr>
      <t xml:space="preserve"> [0.894I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>/(wt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vertAlign val="superscript"/>
        <sz val="9"/>
        <rFont val="맑은 고딕"/>
        <family val="3"/>
        <charset val="129"/>
      </rPr>
      <t>3</t>
    </r>
    <r xmlns="http://schemas.openxmlformats.org/spreadsheetml/2006/main">
      <rPr>
        <sz val="9"/>
        <rFont val="맑은 고딕"/>
        <family val="3"/>
        <charset val="129"/>
      </rPr>
      <t>)]</t>
    </r>
    <r xmlns="http://schemas.openxmlformats.org/spreadsheetml/2006/main">
      <rPr>
        <vertAlign val="superscript"/>
        <sz val="9"/>
        <rFont val="맑은 고딕"/>
        <family val="3"/>
        <charset val="129"/>
      </rPr>
      <t xml:space="preserve">1/3 </t>
    </r>
    <r xmlns="http://schemas.openxmlformats.org/spreadsheetml/2006/main">
      <rPr>
        <sz val="9"/>
        <rFont val="Symbol"/>
        <family val="1"/>
        <charset val="2"/>
      </rPr>
      <t>£</t>
    </r>
    <r xmlns="http://schemas.openxmlformats.org/spreadsheetml/2006/main">
      <rPr>
        <sz val="9"/>
        <rFont val="맑은 고딕"/>
        <family val="3"/>
        <charset val="129"/>
      </rPr>
      <t xml:space="preserve"> 4.0</t>
    </r>
  </si>
  <si>
    <t>n</t>
  </si>
  <si>
    <r xmlns="http://schemas.openxmlformats.org/spreadsheetml/2006/main">
      <t>I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28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</si>
  <si>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28" type="noConversion"/>
  </si>
  <si>
    <t xml:space="preserve">압축플랜지의 종방향보강재 사이 폭 또는 웨브로부터 </t>
  </si>
  <si>
    <t>가장 가까운종방향보강재까지의 거리 중 큰 값</t>
  </si>
  <si>
    <r xmlns="http://schemas.openxmlformats.org/spreadsheetml/2006/main">
      <t>3) 공칭휨강도 M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b/>
        <sz val="9"/>
        <rFont val="맑은 고딕"/>
        <family val="3"/>
        <charset val="129"/>
      </rPr>
      <t xml:space="preserve"> 산정 (Nominal flexural resistance)</t>
    </r>
    <phoneticPr xmlns="http://schemas.openxmlformats.org/spreadsheetml/2006/main" fontId="31" type="noConversion"/>
  </si>
  <si>
    <t>강.설 4.3.3.1.7.1 (2)</t>
  </si>
  <si>
    <t>공칭항복강도 485MPa 이하인 강재로 균질 합성단면 or 상부 및 하부플랜지의 공칭항복강도 485MPa</t>
  </si>
  <si>
    <r xmlns="http://schemas.openxmlformats.org/spreadsheetml/2006/main">
      <t>M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</t>
    </r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</si>
  <si>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£</t>
    </r>
    <r xmlns="http://schemas.openxmlformats.org/spreadsheetml/2006/main">
      <rPr>
        <sz val="9"/>
        <rFont val="맑은 고딕"/>
        <family val="3"/>
        <charset val="129"/>
      </rPr>
      <t xml:space="preserve"> 0.1D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</si>
  <si>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= M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</si>
  <si>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= M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>(1.07 - 0.7D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>/D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)</t>
    </r>
  </si>
  <si>
    <t>공칭항복강도 690MPa 강재로 균질 합성단면 or 상부 및 하부플랜지의 공칭항복강도 690MPa</t>
  </si>
  <si>
    <r xmlns="http://schemas.openxmlformats.org/spreadsheetml/2006/main">
      <t>0.1D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&lt; D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</t>
    </r>
    <r xmlns="http://schemas.openxmlformats.org/spreadsheetml/2006/main">
      <rPr>
        <sz val="9"/>
        <rFont val="Symbol"/>
        <family val="1"/>
        <charset val="2"/>
      </rPr>
      <t>£</t>
    </r>
    <r xmlns="http://schemas.openxmlformats.org/spreadsheetml/2006/main">
      <rPr>
        <sz val="9"/>
        <rFont val="맑은 고딕"/>
        <family val="3"/>
        <charset val="129"/>
      </rPr>
      <t xml:space="preserve"> 0.2D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</si>
  <si>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= M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>(1.19 - 1.9D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>/D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</si>
  <si>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= M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>(1.0 - 0.95D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>/D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31" type="noConversion"/>
  </si>
  <si>
    <t xml:space="preserve">연속교의 경우 단며의 공칭휨강도는 다음 식을 만족해야한다 </t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</si>
  <si>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≤ 1.3R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y</t>
    </r>
    <phoneticPr xmlns="http://schemas.openxmlformats.org/spreadsheetml/2006/main" fontId="31" type="noConversion"/>
  </si>
  <si>
    <t xml:space="preserve">여기서, </t>
  </si>
  <si>
    <t>소성모멘트</t>
  </si>
  <si>
    <t>항복모멘트</t>
  </si>
  <si>
    <t>합성단면의 전체높이</t>
  </si>
  <si>
    <t xml:space="preserve">소성모멘트 상태어세 콘크리트 바닥판의 상단에서나  </t>
  </si>
  <si>
    <t>내부 con'c 하단에서 중립축까지의 거리</t>
  </si>
  <si>
    <r xmlns="http://schemas.openxmlformats.org/spreadsheetml/2006/main">
      <t>4) 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nt</t>
    </r>
    <r xmlns="http://schemas.openxmlformats.org/spreadsheetml/2006/main">
      <rPr>
        <b/>
        <sz val="9"/>
        <rFont val="맑은 고딕"/>
        <family val="3"/>
        <charset val="129"/>
      </rPr>
      <t xml:space="preserve"> 산정 (Nominal flexural resistance of tension flange)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</si>
  <si>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nt</t>
    </r>
  </si>
  <si>
    <t>Positive moment</t>
  </si>
  <si>
    <t>강.설 4.3.3.2.7.2 (2)</t>
  </si>
  <si>
    <t>Negative moment</t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</si>
  <si>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yt</t>
    </r>
  </si>
  <si>
    <t>강.설 4.3.3.2.8.3</t>
  </si>
  <si>
    <t>5) Classification of compact or noncompact section</t>
  </si>
  <si>
    <t>강.설 4.3.3.2.6.2 (2)</t>
  </si>
  <si>
    <t>a</t>
  </si>
  <si>
    <t>자간 중앙에서의 안접 박스 간 플랜지의 중심간격</t>
  </si>
  <si>
    <t>같이 각 박스단면의 플랜지 중심간격</t>
  </si>
  <si>
    <t>b</t>
  </si>
  <si>
    <t>난간이나 연석을 포함한 바닥판의 내민부</t>
  </si>
  <si>
    <t>웨브의 경사도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</si>
  <si>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cp</t>
    </r>
    <phoneticPr xmlns="http://schemas.openxmlformats.org/spreadsheetml/2006/main" fontId="31" type="noConversion"/>
  </si>
  <si>
    <t>소성모멘트 적용 시 압축을 받는 웨브의 높이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</si>
  <si>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cp</t>
    </r>
    <r xmlns="http://schemas.openxmlformats.org/spreadsheetml/2006/main">
      <rPr>
        <sz val="9"/>
        <rFont val="맑은 고딕"/>
        <family val="3"/>
        <charset val="129"/>
      </rPr>
      <t xml:space="preserve"> &gt; 0 for the case the plastic neutral axis is in the web, others cases D</t>
    </r>
    <r xmlns="http://schemas.openxmlformats.org/spreadsheetml/2006/main">
      <rPr>
        <vertAlign val="subscript"/>
        <sz val="9"/>
        <rFont val="맑은 고딕"/>
        <family val="3"/>
        <charset val="129"/>
      </rPr>
      <t>cp</t>
    </r>
    <r xmlns="http://schemas.openxmlformats.org/spreadsheetml/2006/main">
      <rPr>
        <sz val="9"/>
        <rFont val="맑은 고딕"/>
        <family val="3"/>
        <charset val="129"/>
      </rPr>
      <t xml:space="preserve"> = 0</t>
    </r>
    <phoneticPr xmlns="http://schemas.openxmlformats.org/spreadsheetml/2006/main" fontId="31" type="noConversion"/>
  </si>
  <si>
    <r xmlns="http://schemas.openxmlformats.org/spreadsheetml/2006/main">
      <t>Table 7.2.5. Calculation of  box girder enclosed area A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0_NC</t>
    </r>
    <r xmlns="http://schemas.openxmlformats.org/spreadsheetml/2006/main">
      <rPr>
        <i/>
        <sz val="9"/>
        <rFont val="맑은 고딕"/>
        <family val="3"/>
        <charset val="129"/>
      </rPr>
      <t xml:space="preserve"> (noncomposite) and A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0_C</t>
    </r>
    <r xmlns="http://schemas.openxmlformats.org/spreadsheetml/2006/main">
      <rPr>
        <i/>
        <sz val="9"/>
        <rFont val="맑은 고딕"/>
        <family val="3"/>
        <charset val="129"/>
      </rPr>
      <t xml:space="preserve"> (composite)</t>
    </r>
    <phoneticPr xmlns="http://schemas.openxmlformats.org/spreadsheetml/2006/main" fontId="31" type="noConversion"/>
  </si>
  <si>
    <r xmlns="http://schemas.openxmlformats.org/spreadsheetml/2006/main"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0_NC</t>
    </r>
  </si>
  <si>
    <r xmlns="http://schemas.openxmlformats.org/spreadsheetml/2006/main"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0_C</t>
    </r>
  </si>
  <si>
    <t>Table 7.2.6. Calculation of Δ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</si>
  <si>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v_NC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</si>
  <si>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v_C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</si>
  <si>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v</t>
    </r>
  </si>
  <si>
    <t>DC4</t>
  </si>
  <si>
    <t>DW</t>
  </si>
  <si>
    <r xmlns="http://schemas.openxmlformats.org/spreadsheetml/2006/main">
      <t>LL</t>
    </r>
    <r xmlns="http://schemas.openxmlformats.org/spreadsheetml/2006/main">
      <rPr>
        <vertAlign val="subscript"/>
        <sz val="9"/>
        <rFont val="맑은 고딕"/>
        <family val="3"/>
        <charset val="129"/>
      </rPr>
      <t>max</t>
    </r>
    <phoneticPr xmlns="http://schemas.openxmlformats.org/spreadsheetml/2006/main" fontId="31" type="noConversion"/>
  </si>
  <si>
    <r xmlns="http://schemas.openxmlformats.org/spreadsheetml/2006/main">
      <t>LL</t>
    </r>
    <r xmlns="http://schemas.openxmlformats.org/spreadsheetml/2006/main">
      <rPr>
        <vertAlign val="subscript"/>
        <sz val="9"/>
        <rFont val="맑은 고딕"/>
        <family val="3"/>
        <charset val="129"/>
      </rPr>
      <t>min</t>
    </r>
    <phoneticPr xmlns="http://schemas.openxmlformats.org/spreadsheetml/2006/main" fontId="31" type="noConversion"/>
  </si>
  <si>
    <r xmlns="http://schemas.openxmlformats.org/spreadsheetml/2006/main">
      <t>Table 7.2.7. Calculation of R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h</t>
    </r>
    <phoneticPr xmlns="http://schemas.openxmlformats.org/spreadsheetml/2006/main" fontId="31" type="noConversion"/>
  </si>
  <si>
    <t>ρ 산정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</si>
  <si>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phoneticPr xmlns="http://schemas.openxmlformats.org/spreadsheetml/2006/main" fontId="31" type="noConversion"/>
  </si>
  <si>
    <r xmlns="http://schemas.openxmlformats.org/spreadsheetml/2006/main">
      <t>Table 7.2.8. Calculation of 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cb</t>
    </r>
    <r xmlns="http://schemas.openxmlformats.org/spreadsheetml/2006/main">
      <rPr>
        <i/>
        <sz val="9"/>
        <rFont val="맑은 고딕"/>
        <family val="3"/>
        <charset val="129"/>
      </rPr>
      <t>, 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cv</t>
    </r>
    <phoneticPr xmlns="http://schemas.openxmlformats.org/spreadsheetml/2006/main" fontId="31" type="noConversion"/>
  </si>
  <si>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phoneticPr xmlns="http://schemas.openxmlformats.org/spreadsheetml/2006/main" fontId="31" type="noConversion"/>
  </si>
  <si>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phoneticPr xmlns="http://schemas.openxmlformats.org/spreadsheetml/2006/main" fontId="31" type="noConversion"/>
  </si>
  <si>
    <r xmlns="http://schemas.openxmlformats.org/spreadsheetml/2006/main">
      <rPr>
        <sz val="9"/>
        <rFont val="Calibri"/>
        <family val="3"/>
        <charset val="161"/>
      </rPr>
      <t>λ</t>
    </r>
    <r xmlns="http://schemas.openxmlformats.org/spreadsheetml/2006/main">
      <rPr>
        <vertAlign val="subscript"/>
        <sz val="9"/>
        <rFont val="맑은 고딕"/>
        <family val="3"/>
        <charset val="129"/>
      </rPr>
      <t>r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</si>
  <si>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cb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</si>
  <si>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cv</t>
    </r>
    <phoneticPr xmlns="http://schemas.openxmlformats.org/spreadsheetml/2006/main" fontId="31" type="noConversion"/>
  </si>
  <si>
    <r xmlns="http://schemas.openxmlformats.org/spreadsheetml/2006/main">
      <t>Table 7.2.9. Calculation of 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i/>
        <sz val="9"/>
        <rFont val="맑은 고딕"/>
        <family val="3"/>
        <charset val="129"/>
      </rPr>
      <t>, F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nt</t>
    </r>
    <r xmlns="http://schemas.openxmlformats.org/spreadsheetml/2006/main">
      <rPr>
        <i/>
        <sz val="9"/>
        <rFont val="맑은 고딕"/>
        <family val="3"/>
        <charset val="129"/>
      </rPr>
      <t>, M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n</t>
    </r>
    <phoneticPr xmlns="http://schemas.openxmlformats.org/spreadsheetml/2006/main" fontId="31" type="noConversion"/>
  </si>
  <si>
    <t>OF/BF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</si>
  <si>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</t>
    </r>
    <r xmlns="http://schemas.openxmlformats.org/spreadsheetml/2006/main">
      <rPr>
        <sz val="9"/>
        <rFont val="맑은 고딕"/>
        <family val="3"/>
        <charset val="129"/>
      </rPr>
      <t xml:space="preserve"> 산정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</si>
  <si>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nt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</si>
  <si>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r xmlns="http://schemas.openxmlformats.org/spreadsheetml/2006/main">
      <rPr>
        <sz val="9"/>
        <rFont val="맑은 고딕"/>
        <family val="3"/>
        <charset val="129"/>
      </rPr>
      <t xml:space="preserve"> 산정</t>
    </r>
    <phoneticPr xmlns="http://schemas.openxmlformats.org/spreadsheetml/2006/main" fontId="31" type="noConversion"/>
  </si>
  <si>
    <r xmlns="http://schemas.openxmlformats.org/spreadsheetml/2006/main">
      <t>1.3R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y</t>
    </r>
    <phoneticPr xmlns="http://schemas.openxmlformats.org/spreadsheetml/2006/main" fontId="31" type="noConversion"/>
  </si>
  <si>
    <r xmlns="http://schemas.openxmlformats.org/spreadsheetml/2006/main"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phoneticPr xmlns="http://schemas.openxmlformats.org/spreadsheetml/2006/main" fontId="31" type="noConversion"/>
  </si>
  <si>
    <t>Table 7.2.10. Classification compact / noncompact section</t>
  </si>
  <si>
    <t xml:space="preserve">정/부 </t>
  </si>
  <si>
    <r xmlns="http://schemas.openxmlformats.org/spreadsheetml/2006/main">
      <t>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phoneticPr xmlns="http://schemas.openxmlformats.org/spreadsheetml/2006/main" fontId="31" type="noConversion"/>
  </si>
  <si>
    <t>s</t>
  </si>
  <si>
    <t>Classification</t>
  </si>
  <si>
    <t>Flexure checking</t>
  </si>
  <si>
    <t>Table 7.2.11. Checking stress of top and bottom flange for Noncompact section</t>
  </si>
  <si>
    <r xmlns="http://schemas.openxmlformats.org/spreadsheetml/2006/main">
      <t>Φ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nc</t>
    </r>
    <phoneticPr xmlns="http://schemas.openxmlformats.org/spreadsheetml/2006/main" fontId="31" type="noConversion"/>
  </si>
  <si>
    <r xmlns="http://schemas.openxmlformats.org/spreadsheetml/2006/main">
      <t>Φ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nt</t>
    </r>
    <phoneticPr xmlns="http://schemas.openxmlformats.org/spreadsheetml/2006/main" fontId="31" type="noConversion"/>
  </si>
  <si>
    <t>Checking top flange</t>
  </si>
  <si>
    <t>Checking bottom flange</t>
  </si>
  <si>
    <t>Top</t>
  </si>
  <si>
    <t>압축</t>
  </si>
  <si>
    <t>인장</t>
  </si>
  <si>
    <t>Bottom</t>
  </si>
  <si>
    <t>Table 7.2.12. Checking flexure for compact section</t>
  </si>
  <si>
    <r xmlns="http://schemas.openxmlformats.org/spreadsheetml/2006/main">
      <rPr>
        <sz val="9"/>
        <rFont val="Calibri"/>
        <family val="3"/>
      </rPr>
      <t>M</t>
    </r>
    <r xmlns="http://schemas.openxmlformats.org/spreadsheetml/2006/main">
      <rPr>
        <vertAlign val="subscript"/>
        <sz val="9"/>
        <rFont val="Calibri"/>
        <family val="3"/>
      </rPr>
      <t>u</t>
    </r>
    <phoneticPr xmlns="http://schemas.openxmlformats.org/spreadsheetml/2006/main" fontId="31" type="noConversion"/>
  </si>
  <si>
    <r xmlns="http://schemas.openxmlformats.org/spreadsheetml/2006/main">
      <rPr>
        <sz val="9"/>
        <rFont val="Calibri"/>
        <family val="3"/>
        <charset val="161"/>
      </rPr>
      <t>Φ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Calibri"/>
        <family val="3"/>
      </rPr>
      <t>M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phoneticPr xmlns="http://schemas.openxmlformats.org/spreadsheetml/2006/main" fontId="31" type="noConversion"/>
  </si>
  <si>
    <t>Checking</t>
  </si>
  <si>
    <t>7.2.6. Shear checking</t>
  </si>
  <si>
    <t>강.설 4.3.3.2.9</t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</si>
  <si>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ui</t>
    </r>
    <r xmlns="http://schemas.openxmlformats.org/spreadsheetml/2006/main">
      <rPr>
        <sz val="9"/>
        <rFont val="맑은 고딕"/>
        <family val="3"/>
        <charset val="129"/>
      </rPr>
      <t xml:space="preserve"> = V</t>
    </r>
    <r xmlns="http://schemas.openxmlformats.org/spreadsheetml/2006/main">
      <rPr>
        <vertAlign val="subscript"/>
        <sz val="9"/>
        <rFont val="맑은 고딕"/>
        <family val="3"/>
        <charset val="129"/>
      </rPr>
      <t>u</t>
    </r>
    <r xmlns="http://schemas.openxmlformats.org/spreadsheetml/2006/main">
      <rPr>
        <sz val="9"/>
        <rFont val="맑은 고딕"/>
        <family val="3"/>
        <charset val="129"/>
      </rPr>
      <t>/cos</t>
    </r>
    <r xmlns="http://schemas.openxmlformats.org/spreadsheetml/2006/main">
      <rPr>
        <sz val="9"/>
        <rFont val="Calibri"/>
        <family val="3"/>
        <charset val="161"/>
      </rPr>
      <t>θ</t>
    </r>
    <phoneticPr xmlns="http://schemas.openxmlformats.org/spreadsheetml/2006/main" fontId="31" type="noConversion"/>
  </si>
  <si>
    <r xmlns="http://schemas.openxmlformats.org/spreadsheetml/2006/main">
      <t>Calculation of V</t>
    </r>
    <r xmlns="http://schemas.openxmlformats.org/spreadsheetml/2006/main">
      <rPr>
        <vertAlign val="subscript"/>
        <sz val="9"/>
        <rFont val="맑은 고딕"/>
        <family val="3"/>
        <charset val="129"/>
      </rPr>
      <t xml:space="preserve">n </t>
    </r>
    <r xmlns="http://schemas.openxmlformats.org/spreadsheetml/2006/main">
      <rPr>
        <sz val="9"/>
        <rFont val="맑은 고딕"/>
        <family val="3"/>
        <charset val="129"/>
      </rPr>
      <t>(Nominal shear resistance)</t>
    </r>
  </si>
  <si>
    <r xmlns="http://schemas.openxmlformats.org/spreadsheetml/2006/main">
      <t>V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</t>
    </r>
  </si>
  <si>
    <t>Unstiffened web</t>
  </si>
  <si>
    <r xmlns="http://schemas.openxmlformats.org/spreadsheetml/2006/main">
      <t>C•V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= C•0.58F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Dt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phoneticPr xmlns="http://schemas.openxmlformats.org/spreadsheetml/2006/main" fontId="31" type="noConversion"/>
  </si>
  <si>
    <t>강.설 4.3.3.1.9.2</t>
  </si>
  <si>
    <t>Stiffened web</t>
  </si>
  <si>
    <t>- End panels</t>
  </si>
  <si>
    <t>강.설 4.3.3.1.9.3(3)</t>
  </si>
  <si>
    <t>- Interior panels</t>
  </si>
  <si>
    <t>강.설 4.3.3.1.9.3(2)</t>
  </si>
  <si>
    <r xmlns="http://schemas.openxmlformats.org/spreadsheetml/2006/main">
      <t>2Dt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/ (b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sz val="9"/>
        <rFont val="맑은 고딕"/>
        <family val="3"/>
        <charset val="129"/>
      </rPr>
      <t xml:space="preserve"> + b</t>
    </r>
    <r xmlns="http://schemas.openxmlformats.org/spreadsheetml/2006/main">
      <rPr>
        <vertAlign val="subscript"/>
        <sz val="9"/>
        <rFont val="맑은 고딕"/>
        <family val="3"/>
        <charset val="129"/>
      </rPr>
      <t>ft</t>
    </r>
    <r xmlns="http://schemas.openxmlformats.org/spreadsheetml/2006/main">
      <rPr>
        <sz val="9"/>
        <rFont val="맑은 고딕"/>
        <family val="3"/>
        <charset val="129"/>
      </rPr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ft</t>
    </r>
    <r xmlns="http://schemas.openxmlformats.org/spreadsheetml/2006/main">
      <rPr>
        <sz val="9"/>
        <rFont val="맑은 고딕"/>
        <family val="3"/>
        <charset val="129"/>
      </rPr>
      <t>) ≤ 2.5</t>
    </r>
    <phoneticPr xmlns="http://schemas.openxmlformats.org/spreadsheetml/2006/main" fontId="28" type="noConversion"/>
  </si>
  <si>
    <r xmlns="http://schemas.openxmlformats.org/spreadsheetml/2006/main">
      <t>0.58F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Dt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[C + 0.87(1 - C) / √(1 + d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/ D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)]</t>
    </r>
    <phoneticPr xmlns="http://schemas.openxmlformats.org/spreadsheetml/2006/main" fontId="28" type="noConversion"/>
  </si>
  <si>
    <r xmlns="http://schemas.openxmlformats.org/spreadsheetml/2006/main">
      <t>0.58F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Dt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[C + 0.87(1 - C) / √(1 + d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>/ D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  <r xmlns="http://schemas.openxmlformats.org/spreadsheetml/2006/main">
      <rPr>
        <sz val="9"/>
        <rFont val="맑은 고딕"/>
        <family val="3"/>
        <charset val="129"/>
      </rPr>
      <t xml:space="preserve"> + d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r xmlns="http://schemas.openxmlformats.org/spreadsheetml/2006/main">
      <rPr>
        <sz val="9"/>
        <rFont val="맑은 고딕"/>
        <family val="3"/>
        <charset val="129"/>
      </rPr>
      <t>/D)]</t>
    </r>
    <phoneticPr xmlns="http://schemas.openxmlformats.org/spreadsheetml/2006/main" fontId="28" type="noConversion"/>
  </si>
  <si>
    <r xmlns="http://schemas.openxmlformats.org/spreadsheetml/2006/main">
      <t>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≤ 1.12√(Ek/F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28" type="noConversion"/>
  </si>
  <si>
    <r xmlns="http://schemas.openxmlformats.org/spreadsheetml/2006/main">
      <t>1.12√(Ek/F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 &lt; 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≤ 1.40√(Ek/F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 xml:space="preserve">) </t>
    </r>
    <phoneticPr xmlns="http://schemas.openxmlformats.org/spreadsheetml/2006/main" fontId="28" type="noConversion"/>
  </si>
  <si>
    <r xmlns="http://schemas.openxmlformats.org/spreadsheetml/2006/main">
      <t>1.12/(D/t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)√(Ek/F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28" type="noConversion"/>
  </si>
  <si>
    <r xmlns="http://schemas.openxmlformats.org/spreadsheetml/2006/main">
      <t>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 xml:space="preserve"> &gt; 1.40√(Ek/F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</t>
    </r>
    <phoneticPr xmlns="http://schemas.openxmlformats.org/spreadsheetml/2006/main" fontId="28" type="noConversion"/>
  </si>
  <si>
    <r xmlns="http://schemas.openxmlformats.org/spreadsheetml/2006/main">
      <t>1.57(Ek/F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)/(D/t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)²</t>
    </r>
    <phoneticPr xmlns="http://schemas.openxmlformats.org/spreadsheetml/2006/main" fontId="31" type="noConversion"/>
  </si>
  <si>
    <t>Calculation of k - shear-buckling ccoefficient</t>
  </si>
  <si>
    <r xmlns="http://schemas.openxmlformats.org/spreadsheetml/2006/main">
      <t>5+5/(d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r xmlns="http://schemas.openxmlformats.org/spreadsheetml/2006/main">
      <rPr>
        <sz val="9"/>
        <rFont val="맑은 고딕"/>
        <family val="3"/>
        <charset val="129"/>
      </rPr>
      <t>/D)²</t>
    </r>
    <phoneticPr xmlns="http://schemas.openxmlformats.org/spreadsheetml/2006/main" fontId="31" type="noConversion"/>
  </si>
  <si>
    <t>Classification of stiffened web and unstiffened web</t>
  </si>
  <si>
    <t>강.설 4.3.3.1.9.1(3)</t>
  </si>
  <si>
    <r xmlns="http://schemas.openxmlformats.org/spreadsheetml/2006/main">
      <t>수직보강재 간격 d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r xmlns="http://schemas.openxmlformats.org/spreadsheetml/2006/main">
      <rPr>
        <sz val="9"/>
        <rFont val="맑은 고딕"/>
        <family val="3"/>
        <charset val="129"/>
      </rPr>
      <t xml:space="preserve"> ≤ 3D and 수평보강재 없음</t>
    </r>
    <phoneticPr xmlns="http://schemas.openxmlformats.org/spreadsheetml/2006/main" fontId="31" type="noConversion"/>
  </si>
  <si>
    <r xmlns="http://schemas.openxmlformats.org/spreadsheetml/2006/main">
      <t>수직보강재 간격 d</t>
    </r>
    <r xmlns="http://schemas.openxmlformats.org/spreadsheetml/2006/main">
      <rPr>
        <vertAlign val="subscript"/>
        <sz val="9"/>
        <rFont val="맑은 고딕"/>
        <family val="3"/>
        <charset val="129"/>
      </rPr>
      <t>0</t>
    </r>
    <r xmlns="http://schemas.openxmlformats.org/spreadsheetml/2006/main">
      <rPr>
        <sz val="9"/>
        <rFont val="맑은 고딕"/>
        <family val="3"/>
        <charset val="129"/>
      </rPr>
      <t xml:space="preserve"> ≤ 1.5 D and 수평보강재 있음</t>
    </r>
    <phoneticPr xmlns="http://schemas.openxmlformats.org/spreadsheetml/2006/main" fontId="31" type="noConversion"/>
  </si>
  <si>
    <t>unstiffened web</t>
  </si>
  <si>
    <t>Table 7.2.13. Calculation of nominal shear resistance</t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</si>
  <si>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</si>
  <si>
    <t>C 산정</t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</si>
  <si>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</si>
  <si>
    <r xmlns="http://schemas.openxmlformats.org/spreadsheetml/2006/main">
      <rPr>
        <sz val="9"/>
        <rFont val="Symbol"/>
        <family val="1"/>
        <charset val="2"/>
      </rPr>
      <t>Ö</t>
    </r>
    <r xmlns="http://schemas.openxmlformats.org/spreadsheetml/2006/main">
      <rPr>
        <sz val="9"/>
        <rFont val="맑은 고딕"/>
        <family val="3"/>
        <charset val="129"/>
      </rPr>
      <t>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phoneticPr xmlns="http://schemas.openxmlformats.org/spreadsheetml/2006/main" fontId="31" type="noConversion"/>
  </si>
  <si>
    <t>Table 7.2.14. Checking web shear</t>
  </si>
  <si>
    <t>전단 산정</t>
  </si>
  <si>
    <t>θ</t>
  </si>
  <si>
    <t>7.3. 사용한계상태</t>
  </si>
  <si>
    <t>플랜지 요구조건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</si>
  <si>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맑은 고딕"/>
        <family val="3"/>
        <charset val="129"/>
      </rPr>
      <t xml:space="preserve"> ≤ 0.95R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yf</t>
    </r>
    <phoneticPr xmlns="http://schemas.openxmlformats.org/spreadsheetml/2006/main" fontId="28" type="noConversion"/>
  </si>
  <si>
    <t>강.설 4.3-138</t>
  </si>
  <si>
    <t>웨브의 휨좌굴강도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</si>
  <si>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b/>
        <sz val="9"/>
        <rFont val="맑은 고딕"/>
        <family val="3"/>
        <charset val="129"/>
      </rPr>
      <t xml:space="preserve"> 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 xml:space="preserve"> </t>
    </r>
    <r xmlns="http://schemas.openxmlformats.org/spreadsheetml/2006/main">
      <rPr>
        <b/>
        <sz val="9"/>
        <rFont val="맑은 고딕"/>
        <family val="3"/>
        <charset val="129"/>
      </rPr>
      <t>≤ 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crw</t>
    </r>
    <phoneticPr xmlns="http://schemas.openxmlformats.org/spreadsheetml/2006/main" fontId="28" type="noConversion"/>
  </si>
  <si>
    <t>강.설 4.3-141</t>
  </si>
  <si>
    <r xmlns="http://schemas.openxmlformats.org/spreadsheetml/2006/main">
      <t>Except for the section in positive flexure in which the web satisfies D/t</t>
    </r>
    <r xmlns="http://schemas.openxmlformats.org/spreadsheetml/2006/main">
      <rPr>
        <i/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i/>
        <sz val="9"/>
        <rFont val="맑은 고딕"/>
        <family val="3"/>
        <charset val="129"/>
      </rPr>
      <t xml:space="preserve"> ≤ 150</t>
    </r>
    <phoneticPr xmlns="http://schemas.openxmlformats.org/spreadsheetml/2006/main" fontId="28" type="noConversion"/>
  </si>
  <si>
    <t>철근 (부모멘트)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</si>
  <si>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b/>
        <sz val="9"/>
        <rFont val="맑은 고딕"/>
        <family val="3"/>
        <charset val="129"/>
      </rPr>
      <t xml:space="preserve"> ≤ 0.8F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</t>
    </r>
    <phoneticPr xmlns="http://schemas.openxmlformats.org/spreadsheetml/2006/main" fontId="28" type="noConversion"/>
  </si>
  <si>
    <t>7.3.1. 플랜지 요구조건</t>
  </si>
  <si>
    <t>강.설 4.3.3.1.4.2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</si>
  <si>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f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</si>
  <si>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t>플랜지 횡방향 휨을 고려하지 않은 사용한계상태조합에 의한 플랜지 응력</t>
  </si>
  <si>
    <t>하이브리드 단면의 플랜지 응력감소계수</t>
  </si>
  <si>
    <t>Table 7.3.1. Checking flange stress</t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</si>
  <si>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n</t>
    </r>
    <phoneticPr xmlns="http://schemas.openxmlformats.org/spreadsheetml/2006/main" fontId="28" type="noConversion"/>
  </si>
  <si>
    <r xmlns="http://schemas.openxmlformats.org/spreadsheetml/2006/main">
      <t>A</t>
    </r>
    <r xmlns="http://schemas.openxmlformats.org/spreadsheetml/2006/main">
      <rPr>
        <vertAlign val="subscript"/>
        <sz val="9"/>
        <rFont val="맑은 고딕"/>
        <family val="3"/>
        <charset val="129"/>
      </rPr>
      <t>fn</t>
    </r>
    <phoneticPr xmlns="http://schemas.openxmlformats.org/spreadsheetml/2006/main" fontId="28" type="noConversion"/>
  </si>
  <si>
    <r xmlns="http://schemas.openxmlformats.org/spreadsheetml/2006/main">
      <t>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phoneticPr xmlns="http://schemas.openxmlformats.org/spreadsheetml/2006/main" fontId="28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</si>
  <si>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n</t>
    </r>
    <phoneticPr xmlns="http://schemas.openxmlformats.org/spreadsheetml/2006/main" fontId="28" type="noConversion"/>
  </si>
  <si>
    <r xmlns="http://schemas.openxmlformats.org/spreadsheetml/2006/main">
      <t>R</t>
    </r>
    <r xmlns="http://schemas.openxmlformats.org/spreadsheetml/2006/main">
      <rPr>
        <vertAlign val="subscript"/>
        <sz val="9"/>
        <rFont val="Calibri Light"/>
        <family val="3"/>
        <charset val="129"/>
        <scheme val="major"/>
      </rPr>
      <t>h</t>
    </r>
    <phoneticPr xmlns="http://schemas.openxmlformats.org/spreadsheetml/2006/main" fontId="31" type="noConversion"/>
  </si>
  <si>
    <r xmlns="http://schemas.openxmlformats.org/spreadsheetml/2006/main">
      <t>0.9R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Fyf</t>
    </r>
    <phoneticPr xmlns="http://schemas.openxmlformats.org/spreadsheetml/2006/main" fontId="28" type="noConversion"/>
  </si>
  <si>
    <t>7.3.2. 웨브의 휨좌굴강도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</si>
  <si>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b/>
        <sz val="9"/>
        <rFont val="맑은 고딕"/>
        <family val="3"/>
        <charset val="129"/>
      </rPr>
      <t xml:space="preserve"> ≤ 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crw</t>
    </r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</si>
  <si>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</si>
  <si>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t xml:space="preserve">플랜지 횡방향 휨을 고려하지 않은 사용한계상태조합에 의한 단면의 </t>
  </si>
  <si>
    <t>웨브 공칭휨좌굴강도</t>
  </si>
  <si>
    <t>압축플랜지 응력</t>
  </si>
  <si>
    <r xmlns="http://schemas.openxmlformats.org/spreadsheetml/2006/main">
      <rPr>
        <sz val="9"/>
        <rFont val="Symbol"/>
        <family val="1"/>
        <charset val="2"/>
      </rPr>
      <t>£</t>
    </r>
    <r xmlns="http://schemas.openxmlformats.org/spreadsheetml/2006/main">
      <rPr>
        <sz val="9"/>
        <rFont val="맑은 고딕"/>
        <family val="3"/>
        <charset val="129"/>
      </rPr>
      <t xml:space="preserve"> smaller (R</t>
    </r>
    <r xmlns="http://schemas.openxmlformats.org/spreadsheetml/2006/main">
      <rPr>
        <vertAlign val="subscript"/>
        <sz val="9"/>
        <rFont val="맑은 고딕"/>
        <family val="3"/>
        <charset val="129"/>
      </rPr>
      <t>h</t>
    </r>
    <r xmlns="http://schemas.openxmlformats.org/spreadsheetml/2006/main">
      <rPr>
        <sz val="9"/>
        <rFont val="맑은 고딕"/>
        <family val="3"/>
        <charset val="129"/>
      </rPr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yc</t>
    </r>
    <r xmlns="http://schemas.openxmlformats.org/spreadsheetml/2006/main">
      <rPr>
        <sz val="9"/>
        <rFont val="맑은 고딕"/>
        <family val="3"/>
        <charset val="129"/>
      </rPr>
      <t xml:space="preserve"> and 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/0.7)</t>
    </r>
  </si>
  <si>
    <r xmlns="http://schemas.openxmlformats.org/spreadsheetml/2006/main">
      <rPr>
        <i/>
        <sz val="9"/>
        <rFont val="맑은 고딕"/>
        <family val="3"/>
        <charset val="129"/>
      </rPr>
      <t>web stiffeners</t>
    </r>
    <r xmlns="http://schemas.openxmlformats.org/spreadsheetml/2006/main">
      <rPr>
        <b/>
        <i/>
        <sz val="9"/>
        <rFont val="맑은 고딕"/>
        <family val="3"/>
        <charset val="129"/>
      </rPr>
      <t>." Structural Engineering and Mechanics 69.4 (2019): 383-397.</t>
    </r>
  </si>
  <si>
    <t>dsc</t>
  </si>
  <si>
    <t>distance between the center of the two longitudinal stiffeners and the inner</t>
  </si>
  <si>
    <t xml:space="preserve"> surface of the compression flange</t>
  </si>
  <si>
    <t xml:space="preserve">In this case, the distances between the first and second stiffener to the inner surface of </t>
  </si>
  <si>
    <r xmlns="http://schemas.openxmlformats.org/spreadsheetml/2006/main">
      <t>the compression flange are taken as 0.14D and 0.36D, thus, d</t>
    </r>
    <r xmlns="http://schemas.openxmlformats.org/spreadsheetml/2006/main">
      <rPr>
        <vertAlign val="subscript"/>
        <sz val="9"/>
        <rFont val="맑은 고딕"/>
        <family val="3"/>
        <charset val="129"/>
      </rPr>
      <t>sc</t>
    </r>
    <r xmlns="http://schemas.openxmlformats.org/spreadsheetml/2006/main">
      <rPr>
        <sz val="9"/>
        <rFont val="맑은 고딕"/>
        <family val="3"/>
        <charset val="129"/>
      </rPr>
      <t xml:space="preserve"> would be 0.25D </t>
    </r>
  </si>
  <si>
    <r xmlns="http://schemas.openxmlformats.org/spreadsheetml/2006/main">
      <t>탄성범위 내에서 웨브의 압축 측 높이 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산정</t>
    </r>
    <phoneticPr xmlns="http://schemas.openxmlformats.org/spreadsheetml/2006/main" fontId="31" type="noConversion"/>
  </si>
  <si>
    <r xmlns="http://schemas.openxmlformats.org/spreadsheetml/2006/main">
      <t>D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= -f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 / ( | f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r xmlns="http://schemas.openxmlformats.org/spreadsheetml/2006/main">
      <rPr>
        <sz val="9"/>
        <rFont val="맑은 고딕"/>
        <family val="3"/>
        <charset val="129"/>
      </rPr>
      <t xml:space="preserve"> | + f</t>
    </r>
    <r xmlns="http://schemas.openxmlformats.org/spreadsheetml/2006/main">
      <rPr>
        <vertAlign val="subscript"/>
        <sz val="9"/>
        <rFont val="맑은 고딕"/>
        <family val="3"/>
        <charset val="129"/>
      </rPr>
      <t>t</t>
    </r>
    <r xmlns="http://schemas.openxmlformats.org/spreadsheetml/2006/main">
      <rPr>
        <sz val="9"/>
        <rFont val="맑은 고딕"/>
        <family val="3"/>
        <charset val="129"/>
      </rPr>
      <t xml:space="preserve"> ) * d - t</t>
    </r>
    <r xmlns="http://schemas.openxmlformats.org/spreadsheetml/2006/main">
      <rPr>
        <vertAlign val="subscript"/>
        <sz val="9"/>
        <rFont val="맑은 고딕"/>
        <family val="3"/>
        <charset val="129"/>
      </rPr>
      <t>fc</t>
    </r>
    <r xmlns="http://schemas.openxmlformats.org/spreadsheetml/2006/main">
      <rPr>
        <sz val="9"/>
        <rFont val="맑은 고딕"/>
        <family val="3"/>
        <charset val="129"/>
      </rPr>
      <t xml:space="preserve"> ≥ 0</t>
    </r>
    <phoneticPr xmlns="http://schemas.openxmlformats.org/spreadsheetml/2006/main" fontId="28" type="noConversion"/>
  </si>
  <si>
    <t xml:space="preserve"> 강.설 B.3.1 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</si>
  <si>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deck</t>
    </r>
    <phoneticPr xmlns="http://schemas.openxmlformats.org/spreadsheetml/2006/main" fontId="28" type="noConversion"/>
  </si>
  <si>
    <t>1.0*DC4 + 1.0*DW + 1.3*LL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</si>
  <si>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bot</t>
    </r>
    <phoneticPr xmlns="http://schemas.openxmlformats.org/spreadsheetml/2006/main" fontId="28" type="noConversion"/>
  </si>
  <si>
    <t>1.0*DC3</t>
  </si>
  <si>
    <r xmlns="http://schemas.openxmlformats.org/spreadsheetml/2006/main">
      <t>n*S</t>
    </r>
    <r xmlns="http://schemas.openxmlformats.org/spreadsheetml/2006/main">
      <rPr>
        <vertAlign val="subscript"/>
        <sz val="9"/>
        <rFont val="맑은 고딕"/>
        <family val="3"/>
        <charset val="129"/>
      </rPr>
      <t>bot1</t>
    </r>
    <phoneticPr xmlns="http://schemas.openxmlformats.org/spreadsheetml/2006/main" fontId="28" type="noConversion"/>
  </si>
  <si>
    <t>Table 7.3.2. Calculation depth of web in compression in elastic range and Checking bend-buckling resistance for webs</t>
  </si>
  <si>
    <t>Stress</t>
  </si>
  <si>
    <t>d</t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</si>
  <si>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c</t>
    </r>
    <phoneticPr xmlns="http://schemas.openxmlformats.org/spreadsheetml/2006/main" fontId="31" type="noConversion"/>
  </si>
  <si>
    <t>7.3.3 부모멘트 인장철근 검토</t>
  </si>
  <si>
    <r xmlns="http://schemas.openxmlformats.org/spreadsheetml/2006/main">
      <t>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b/>
        <sz val="9"/>
        <rFont val="맑은 고딕"/>
        <family val="3"/>
        <charset val="129"/>
      </rPr>
      <t xml:space="preserve"> ≤ 0.8F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y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</si>
  <si>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= 부모멘트 인장철근 응력 (사용 I 한계상태)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</si>
  <si>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r xmlns="http://schemas.openxmlformats.org/spreadsheetml/2006/main">
      <rPr>
        <sz val="9"/>
        <rFont val="맑은 고딕"/>
        <family val="3"/>
        <charset val="129"/>
      </rPr>
      <t xml:space="preserve"> = </t>
    </r>
    <phoneticPr xmlns="http://schemas.openxmlformats.org/spreadsheetml/2006/main" fontId="28" type="noConversion"/>
  </si>
  <si>
    <t>1.0*DC4 + 1.0*DW + 1.0*LL</t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</si>
  <si>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맑은 고딕"/>
        <family val="3"/>
        <charset val="129"/>
      </rPr>
      <t>rebar</t>
    </r>
    <phoneticPr xmlns="http://schemas.openxmlformats.org/spreadsheetml/2006/main" fontId="28" type="noConversion"/>
  </si>
  <si>
    <r xmlns="http://schemas.openxmlformats.org/spreadsheetml/2006/main">
      <t>0.8F</t>
    </r>
    <r xmlns="http://schemas.openxmlformats.org/spreadsheetml/2006/main">
      <rPr>
        <vertAlign val="subscript"/>
        <sz val="9"/>
        <rFont val="맑은 고딕"/>
        <family val="3"/>
        <charset val="129"/>
      </rPr>
      <t>y</t>
    </r>
    <r xmlns="http://schemas.openxmlformats.org/spreadsheetml/2006/main">
      <rPr>
        <sz val="9"/>
        <rFont val="맑은 고딕"/>
        <family val="3"/>
        <charset val="129"/>
      </rPr>
      <t xml:space="preserve"> = </t>
    </r>
    <phoneticPr xmlns="http://schemas.openxmlformats.org/spreadsheetml/2006/main" fontId="31" type="noConversion"/>
  </si>
  <si>
    <t>Table 7.3.3. Checking rebar stress</t>
  </si>
  <si>
    <t>부/정</t>
  </si>
  <si>
    <t>응력</t>
  </si>
  <si>
    <r xmlns="http://schemas.openxmlformats.org/spreadsheetml/2006/main">
      <t>DC</t>
    </r>
    <r xmlns="http://schemas.openxmlformats.org/spreadsheetml/2006/main">
      <rPr>
        <vertAlign val="subscript"/>
        <sz val="9"/>
        <rFont val="맑은 고딕"/>
        <family val="3"/>
        <charset val="129"/>
      </rPr>
      <t>4</t>
    </r>
    <phoneticPr xmlns="http://schemas.openxmlformats.org/spreadsheetml/2006/main" fontId="31" type="noConversion"/>
  </si>
  <si>
    <r xmlns="http://schemas.openxmlformats.org/spreadsheetml/2006/main">
      <t>S</t>
    </r>
    <r xmlns="http://schemas.openxmlformats.org/spreadsheetml/2006/main">
      <rPr>
        <vertAlign val="subscript"/>
        <sz val="9"/>
        <rFont val="맑은 고딕"/>
        <family val="3"/>
        <charset val="129"/>
      </rPr>
      <t>rebar</t>
    </r>
    <phoneticPr xmlns="http://schemas.openxmlformats.org/spreadsheetml/2006/main" fontId="31" type="noConversion"/>
  </si>
  <si>
    <r xmlns="http://schemas.openxmlformats.org/spreadsheetml/2006/main">
      <t>f</t>
    </r>
    <r xmlns="http://schemas.openxmlformats.org/spreadsheetml/2006/main">
      <rPr>
        <vertAlign val="subscript"/>
        <sz val="9"/>
        <rFont val="맑은 고딕"/>
        <family val="3"/>
        <charset val="129"/>
      </rPr>
      <t>s</t>
    </r>
    <phoneticPr xmlns="http://schemas.openxmlformats.org/spreadsheetml/2006/main" fontId="31" type="noConversion"/>
  </si>
  <si>
    <t>7.4. 피로 및 파단한계상태</t>
  </si>
  <si>
    <t>하중유발 피로</t>
  </si>
  <si>
    <t>γ(Δf) ≤ (ΔF)n</t>
  </si>
  <si>
    <t>KDS 14 31 20(4.1)</t>
  </si>
  <si>
    <t>웨브 피로요구조건 (전단)</t>
  </si>
  <si>
    <r xmlns="http://schemas.openxmlformats.org/spreadsheetml/2006/main">
      <t>V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u</t>
    </r>
    <r xmlns="http://schemas.openxmlformats.org/spreadsheetml/2006/main">
      <rPr>
        <b/>
        <sz val="9"/>
        <rFont val="맑은 고딕"/>
        <family val="3"/>
        <charset val="129"/>
      </rPr>
      <t xml:space="preserve"> ≤ V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cr</t>
    </r>
  </si>
  <si>
    <t>강.설 4.3-142</t>
  </si>
  <si>
    <t>7.4.1. 하중유발 피로</t>
  </si>
  <si>
    <r xmlns="http://schemas.openxmlformats.org/spreadsheetml/2006/main">
      <t>g(D</t>
    </r>
    <r xmlns="http://schemas.openxmlformats.org/spreadsheetml/2006/main">
      <rPr>
        <b/>
        <sz val="9"/>
        <rFont val="맑은 고딕"/>
        <family val="3"/>
        <charset val="129"/>
      </rPr>
      <t>f</t>
    </r>
    <r xmlns="http://schemas.openxmlformats.org/spreadsheetml/2006/main">
      <rPr>
        <b/>
        <sz val="9"/>
        <rFont val="Symbol"/>
        <family val="1"/>
        <charset val="2"/>
      </rPr>
      <t xml:space="preserve">) £ </t>
    </r>
    <r xmlns="http://schemas.openxmlformats.org/spreadsheetml/2006/main">
      <rPr>
        <b/>
        <sz val="9"/>
        <rFont val="맑은 고딕"/>
        <family val="3"/>
        <charset val="129"/>
      </rPr>
      <t>(</t>
    </r>
    <r xmlns="http://schemas.openxmlformats.org/spreadsheetml/2006/main">
      <rPr>
        <b/>
        <sz val="9"/>
        <rFont val="Symbol"/>
        <family val="1"/>
        <charset val="2"/>
      </rPr>
      <t>D</t>
    </r>
    <r xmlns="http://schemas.openxmlformats.org/spreadsheetml/2006/main">
      <rPr>
        <b/>
        <sz val="9"/>
        <rFont val="맑은 고딕"/>
        <family val="3"/>
        <charset val="129"/>
      </rPr>
      <t>F)</t>
    </r>
    <r xmlns="http://schemas.openxmlformats.org/spreadsheetml/2006/main">
      <rPr>
        <b/>
        <vertAlign val="subscript"/>
        <sz val="9"/>
        <rFont val="맑은 고딕"/>
        <family val="3"/>
        <charset val="129"/>
      </rPr>
      <t>n</t>
    </r>
  </si>
  <si>
    <t>γ</t>
  </si>
  <si>
    <t>하중조합 규정에 명시된 하중계수</t>
  </si>
  <si>
    <r xmlns="http://schemas.openxmlformats.org/spreadsheetml/2006/main">
      <t>(</t>
    </r>
    <r xmlns="http://schemas.openxmlformats.org/spreadsheetml/2006/main">
      <rPr>
        <sz val="9"/>
        <rFont val="Calibri"/>
        <family val="3"/>
        <charset val="161"/>
      </rPr>
      <t>Δ</t>
    </r>
    <r xmlns="http://schemas.openxmlformats.org/spreadsheetml/2006/main">
      <rPr>
        <sz val="8.65"/>
        <rFont val="맑은 고딕"/>
        <family val="3"/>
        <charset val="129"/>
      </rPr>
      <t>f)</t>
    </r>
    <phoneticPr xmlns="http://schemas.openxmlformats.org/spreadsheetml/2006/main" fontId="31" type="noConversion"/>
  </si>
  <si>
    <t>하중효과, 즉 피로설계하중 통과 시 발생되는 활하중 응력범위</t>
  </si>
  <si>
    <r xmlns="http://schemas.openxmlformats.org/spreadsheetml/2006/main">
      <t>(</t>
    </r>
    <r xmlns="http://schemas.openxmlformats.org/spreadsheetml/2006/main">
      <rPr>
        <sz val="9"/>
        <rFont val="Calibri"/>
        <family val="3"/>
        <charset val="161"/>
      </rPr>
      <t>Δ</t>
    </r>
    <r xmlns="http://schemas.openxmlformats.org/spreadsheetml/2006/main">
      <rPr>
        <sz val="8.65"/>
        <rFont val="맑은 고딕"/>
        <family val="3"/>
        <charset val="129"/>
      </rPr>
      <t>F)</t>
    </r>
    <r xmlns="http://schemas.openxmlformats.org/spreadsheetml/2006/main">
      <rPr>
        <vertAlign val="subscript"/>
        <sz val="8.65"/>
        <rFont val="맑은 고딕"/>
        <family val="3"/>
        <charset val="129"/>
      </rPr>
      <t>n</t>
    </r>
    <phoneticPr xmlns="http://schemas.openxmlformats.org/spreadsheetml/2006/main" fontId="31" type="noConversion"/>
  </si>
  <si>
    <t>공칭피로강도</t>
  </si>
  <si>
    <t xml:space="preserve">공칭피로강도 산정 </t>
  </si>
  <si>
    <t>KDS 14 31 20(4.1.2.5)</t>
  </si>
  <si>
    <r xmlns="http://schemas.openxmlformats.org/spreadsheetml/2006/main">
      <t>(N</t>
    </r>
    <r xmlns="http://schemas.openxmlformats.org/spreadsheetml/2006/main">
      <rPr>
        <vertAlign val="subscript"/>
        <sz val="9"/>
        <rFont val="맑은 고딕"/>
        <family val="3"/>
        <charset val="129"/>
      </rPr>
      <t>TH</t>
    </r>
    <r xmlns="http://schemas.openxmlformats.org/spreadsheetml/2006/main">
      <rPr>
        <sz val="9"/>
        <rFont val="맑은 고딕"/>
        <family val="3"/>
        <charset val="129"/>
      </rPr>
      <t>/N)</t>
    </r>
    <r xmlns="http://schemas.openxmlformats.org/spreadsheetml/2006/main">
      <rPr>
        <vertAlign val="superscript"/>
        <sz val="9"/>
        <rFont val="맑은 고딕"/>
        <family val="3"/>
        <charset val="129"/>
      </rPr>
      <t>1/3</t>
    </r>
    <r xmlns="http://schemas.openxmlformats.org/spreadsheetml/2006/main">
      <rPr>
        <sz val="9"/>
        <rFont val="맑은 고딕"/>
        <family val="3"/>
        <charset val="129"/>
      </rPr>
      <t>•(</t>
    </r>
    <r xmlns="http://schemas.openxmlformats.org/spreadsheetml/2006/main">
      <rPr>
        <sz val="9"/>
        <rFont val="Calibri"/>
        <family val="3"/>
        <charset val="161"/>
      </rPr>
      <t>Δ</t>
    </r>
    <r xmlns="http://schemas.openxmlformats.org/spreadsheetml/2006/main">
      <rPr>
        <sz val="9"/>
        <rFont val="맑은 고딕"/>
        <family val="3"/>
        <charset val="129"/>
      </rPr>
      <t>F)</t>
    </r>
    <r xmlns="http://schemas.openxmlformats.org/spreadsheetml/2006/main">
      <rPr>
        <vertAlign val="subscript"/>
        <sz val="9"/>
        <rFont val="맑은 고딕"/>
        <family val="3"/>
        <charset val="129"/>
      </rPr>
      <t>TH</t>
    </r>
    <phoneticPr xmlns="http://schemas.openxmlformats.org/spreadsheetml/2006/main" fontId="31" type="noConversion"/>
  </si>
  <si>
    <t>if</t>
  </si>
  <si>
    <r xmlns="http://schemas.openxmlformats.org/spreadsheetml/2006/main">
      <t>N ≤ N</t>
    </r>
    <r xmlns="http://schemas.openxmlformats.org/spreadsheetml/2006/main">
      <rPr>
        <vertAlign val="subscript"/>
        <sz val="9"/>
        <rFont val="맑은 고딕"/>
        <family val="3"/>
        <charset val="129"/>
      </rPr>
      <t>TH</t>
    </r>
    <phoneticPr xmlns="http://schemas.openxmlformats.org/spreadsheetml/2006/main" fontId="31" type="noConversion"/>
  </si>
  <si>
    <r xmlns="http://schemas.openxmlformats.org/spreadsheetml/2006/main">
      <t>(N</t>
    </r>
    <r xmlns="http://schemas.openxmlformats.org/spreadsheetml/2006/main">
      <rPr>
        <vertAlign val="subscript"/>
        <sz val="9"/>
        <rFont val="맑은 고딕"/>
        <family val="3"/>
        <charset val="129"/>
      </rPr>
      <t>TH</t>
    </r>
    <r xmlns="http://schemas.openxmlformats.org/spreadsheetml/2006/main">
      <rPr>
        <sz val="9"/>
        <rFont val="맑은 고딕"/>
        <family val="3"/>
        <charset val="129"/>
      </rPr>
      <t>/N)</t>
    </r>
    <r xmlns="http://schemas.openxmlformats.org/spreadsheetml/2006/main">
      <rPr>
        <vertAlign val="superscript"/>
        <sz val="9"/>
        <rFont val="맑은 고딕"/>
        <family val="3"/>
        <charset val="129"/>
      </rPr>
      <t>1/5</t>
    </r>
    <r xmlns="http://schemas.openxmlformats.org/spreadsheetml/2006/main">
      <rPr>
        <sz val="9"/>
        <rFont val="맑은 고딕"/>
        <family val="3"/>
        <charset val="129"/>
      </rPr>
      <t>•(</t>
    </r>
    <r xmlns="http://schemas.openxmlformats.org/spreadsheetml/2006/main">
      <rPr>
        <sz val="9"/>
        <rFont val="Calibri"/>
        <family val="3"/>
        <charset val="161"/>
      </rPr>
      <t>Δ</t>
    </r>
    <r xmlns="http://schemas.openxmlformats.org/spreadsheetml/2006/main">
      <rPr>
        <sz val="9"/>
        <rFont val="맑은 고딕"/>
        <family val="3"/>
        <charset val="129"/>
      </rPr>
      <t>F)</t>
    </r>
    <r xmlns="http://schemas.openxmlformats.org/spreadsheetml/2006/main">
      <rPr>
        <vertAlign val="subscript"/>
        <sz val="9"/>
        <rFont val="맑은 고딕"/>
        <family val="3"/>
        <charset val="129"/>
      </rPr>
      <t>TH</t>
    </r>
    <phoneticPr xmlns="http://schemas.openxmlformats.org/spreadsheetml/2006/main" fontId="31" type="noConversion"/>
  </si>
  <si>
    <r xmlns="http://schemas.openxmlformats.org/spreadsheetml/2006/main">
      <t>N</t>
    </r>
    <r xmlns="http://schemas.openxmlformats.org/spreadsheetml/2006/main">
      <rPr>
        <vertAlign val="subscript"/>
        <sz val="9"/>
        <rFont val="맑은 고딕"/>
        <family val="3"/>
        <charset val="129"/>
      </rPr>
      <t>TH</t>
    </r>
    <r xmlns="http://schemas.openxmlformats.org/spreadsheetml/2006/main">
      <rPr>
        <sz val="9"/>
        <rFont val="맑은 고딕"/>
        <family val="3"/>
        <charset val="129"/>
      </rPr>
      <t xml:space="preserve"> ≤ N ≤ N</t>
    </r>
    <r xmlns="http://schemas.openxmlformats.org/spreadsheetml/2006/main">
      <rPr>
        <vertAlign val="subscript"/>
        <sz val="9"/>
        <rFont val="맑은 고딕"/>
        <family val="3"/>
        <charset val="129"/>
      </rPr>
      <t>CL</t>
    </r>
    <phoneticPr xmlns="http://schemas.openxmlformats.org/spreadsheetml/2006/main" fontId="31" type="noConversion"/>
  </si>
  <si>
    <r xmlns="http://schemas.openxmlformats.org/spreadsheetml/2006/main">
      <t>(</t>
    </r>
    <r xmlns="http://schemas.openxmlformats.org/spreadsheetml/2006/main">
      <rPr>
        <sz val="9"/>
        <rFont val="Calibri"/>
        <family val="3"/>
        <charset val="161"/>
      </rPr>
      <t>Δ</t>
    </r>
    <r xmlns="http://schemas.openxmlformats.org/spreadsheetml/2006/main">
      <rPr>
        <sz val="8.65"/>
        <rFont val="맑은 고딕"/>
        <family val="3"/>
        <charset val="129"/>
      </rPr>
      <t>F)</t>
    </r>
    <r xmlns="http://schemas.openxmlformats.org/spreadsheetml/2006/main">
      <rPr>
        <vertAlign val="subscript"/>
        <sz val="8.65"/>
        <rFont val="맑은 고딕"/>
        <family val="3"/>
        <charset val="129"/>
      </rPr>
      <t>CL</t>
    </r>
    <phoneticPr xmlns="http://schemas.openxmlformats.org/spreadsheetml/2006/main" fontId="31" type="noConversion"/>
  </si>
  <si>
    <r xmlns="http://schemas.openxmlformats.org/spreadsheetml/2006/main">
      <t>N &gt; N</t>
    </r>
    <r xmlns="http://schemas.openxmlformats.org/spreadsheetml/2006/main">
      <rPr>
        <vertAlign val="subscript"/>
        <sz val="9"/>
        <rFont val="맑은 고딕"/>
        <family val="3"/>
        <charset val="129"/>
      </rPr>
      <t>CL</t>
    </r>
    <phoneticPr xmlns="http://schemas.openxmlformats.org/spreadsheetml/2006/main" fontId="31" type="noConversion"/>
  </si>
  <si>
    <t>N</t>
  </si>
  <si>
    <r xmlns="http://schemas.openxmlformats.org/spreadsheetml/2006/main">
      <t>(365)•(100)•n•(ADTT)</t>
    </r>
    <r xmlns="http://schemas.openxmlformats.org/spreadsheetml/2006/main">
      <rPr>
        <vertAlign val="subscript"/>
        <sz val="9"/>
        <rFont val="맑은 고딕"/>
        <family val="3"/>
        <charset val="129"/>
      </rPr>
      <t>SL</t>
    </r>
    <phoneticPr xmlns="http://schemas.openxmlformats.org/spreadsheetml/2006/main" fontId="31" type="noConversion"/>
  </si>
  <si>
    <r xmlns="http://schemas.openxmlformats.org/spreadsheetml/2006/main">
      <t>(ADTT)</t>
    </r>
    <r xmlns="http://schemas.openxmlformats.org/spreadsheetml/2006/main">
      <rPr>
        <vertAlign val="subscript"/>
        <sz val="9"/>
        <rFont val="맑은 고딕"/>
        <family val="3"/>
        <charset val="129"/>
      </rPr>
      <t>SL</t>
    </r>
    <phoneticPr xmlns="http://schemas.openxmlformats.org/spreadsheetml/2006/main" fontId="31" type="noConversion"/>
  </si>
  <si>
    <t>(assumed)</t>
  </si>
  <si>
    <r xmlns="http://schemas.openxmlformats.org/spreadsheetml/2006/main">
      <t>(ΔF)</t>
    </r>
    <r xmlns="http://schemas.openxmlformats.org/spreadsheetml/2006/main">
      <rPr>
        <vertAlign val="subscript"/>
        <sz val="9"/>
        <rFont val="맑은 고딕"/>
        <family val="3"/>
        <charset val="129"/>
      </rPr>
      <t>TH</t>
    </r>
    <phoneticPr xmlns="http://schemas.openxmlformats.org/spreadsheetml/2006/main" fontId="31" type="noConversion"/>
  </si>
  <si>
    <t>일정진폭 피로한계값</t>
  </si>
  <si>
    <r xmlns="http://schemas.openxmlformats.org/spreadsheetml/2006/main">
      <t>(ΔF)</t>
    </r>
    <r xmlns="http://schemas.openxmlformats.org/spreadsheetml/2006/main">
      <rPr>
        <vertAlign val="subscript"/>
        <sz val="9"/>
        <rFont val="맑은 고딕"/>
        <family val="3"/>
        <charset val="129"/>
      </rPr>
      <t>CL</t>
    </r>
    <phoneticPr xmlns="http://schemas.openxmlformats.org/spreadsheetml/2006/main" fontId="31" type="noConversion"/>
  </si>
  <si>
    <t>무한수명 공칭피로강도</t>
  </si>
  <si>
    <t>NTH</t>
  </si>
  <si>
    <t>일정진폭 피로한계값에 해당하는 응력범위 반복횟수</t>
  </si>
  <si>
    <t>NCL</t>
  </si>
  <si>
    <t>무한수명 응력험위에 해당하는 응력법위 반복횟수</t>
  </si>
  <si>
    <t>No.</t>
  </si>
  <si>
    <t>상세설명</t>
  </si>
  <si>
    <t>법주</t>
  </si>
  <si>
    <r xmlns="http://schemas.openxmlformats.org/spreadsheetml/2006/main">
      <t>N</t>
    </r>
    <r xmlns="http://schemas.openxmlformats.org/spreadsheetml/2006/main">
      <rPr>
        <vertAlign val="subscript"/>
        <sz val="9"/>
        <rFont val="맑은 고딕"/>
        <family val="3"/>
        <charset val="129"/>
      </rPr>
      <t>TH</t>
    </r>
    <phoneticPr xmlns="http://schemas.openxmlformats.org/spreadsheetml/2006/main" fontId="31" type="noConversion"/>
  </si>
  <si>
    <r xmlns="http://schemas.openxmlformats.org/spreadsheetml/2006/main">
      <t>N</t>
    </r>
    <r xmlns="http://schemas.openxmlformats.org/spreadsheetml/2006/main">
      <rPr>
        <vertAlign val="subscript"/>
        <sz val="9"/>
        <rFont val="맑은 고딕"/>
        <family val="3"/>
        <charset val="129"/>
      </rPr>
      <t>CL</t>
    </r>
    <phoneticPr xmlns="http://schemas.openxmlformats.org/spreadsheetml/2006/main" fontId="31" type="noConversion"/>
  </si>
  <si>
    <r xmlns="http://schemas.openxmlformats.org/spreadsheetml/2006/main">
      <t>(</t>
    </r>
    <r xmlns="http://schemas.openxmlformats.org/spreadsheetml/2006/main">
      <rPr>
        <sz val="9"/>
        <rFont val="Calibri"/>
        <family val="3"/>
        <charset val="161"/>
      </rPr>
      <t>Δ</t>
    </r>
    <r xmlns="http://schemas.openxmlformats.org/spreadsheetml/2006/main">
      <rPr>
        <sz val="8.65"/>
        <rFont val="맑은 고딕"/>
        <family val="3"/>
        <charset val="129"/>
      </rPr>
      <t>F)</t>
    </r>
    <r xmlns="http://schemas.openxmlformats.org/spreadsheetml/2006/main">
      <rPr>
        <vertAlign val="subscript"/>
        <sz val="8.65"/>
        <rFont val="맑은 고딕"/>
        <family val="3"/>
        <charset val="129"/>
      </rPr>
      <t>TH</t>
    </r>
    <phoneticPr xmlns="http://schemas.openxmlformats.org/spreadsheetml/2006/main" fontId="31" type="noConversion"/>
  </si>
  <si>
    <t xml:space="preserve">수직보강재와 플랜지 및
수직보강재와 웨브의 용접</t>
  </si>
  <si>
    <t>C'</t>
  </si>
  <si>
    <t xml:space="preserve">가로보와 플랜지 및 
가로보와 웨브의 용접R=</t>
  </si>
  <si>
    <t>필릿이나 자동 스터드 용접</t>
  </si>
  <si>
    <t xml:space="preserve">Fillet welds connection transverse
elements to webs and flanges</t>
  </si>
  <si>
    <t>E</t>
  </si>
  <si>
    <t>이 규정들은 순인장응력을 받는 상세에만 적용된다. 하중계수를 적용하지 않은 고정하중이, ∑DC, 압축응력을 발생시키는</t>
  </si>
  <si>
    <t>부분의 경우, 이 압축응력이 피로한계상태조합에 최대 활하중 인장응력의 2배보다 작은 경우에만 피로문제를 고려한다</t>
  </si>
  <si>
    <t>그리고 압축응력 ∑DC ≥ 2∙γ(Δf) 경우 → 검토 필요없음</t>
  </si>
  <si>
    <t>Table 7.4.1. Checking load-induced fatigue</t>
  </si>
  <si>
    <t>∑DC</t>
  </si>
  <si>
    <t>γ(Δf)</t>
  </si>
  <si>
    <t>가로보</t>
  </si>
  <si>
    <t>보강재</t>
  </si>
  <si>
    <t>위치</t>
  </si>
  <si>
    <t>수직 보강재 용접</t>
  </si>
  <si>
    <t>상판-가로보 용접</t>
  </si>
  <si>
    <t>스터드 용접</t>
  </si>
  <si>
    <t>7.4.2. 웨브의 비로요구조건</t>
  </si>
  <si>
    <t>강.설 4.3.3.1.5.3</t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</si>
  <si>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u</t>
    </r>
    <r xmlns="http://schemas.openxmlformats.org/spreadsheetml/2006/main">
      <rPr>
        <sz val="9"/>
        <rFont val="맑은 고딕"/>
        <family val="3"/>
        <charset val="129"/>
      </rPr>
      <t>/2/cos</t>
    </r>
    <r xmlns="http://schemas.openxmlformats.org/spreadsheetml/2006/main">
      <rPr>
        <sz val="9"/>
        <rFont val="Calibri"/>
        <family val="3"/>
        <charset val="161"/>
      </rPr>
      <t>θ</t>
    </r>
    <phoneticPr xmlns="http://schemas.openxmlformats.org/spreadsheetml/2006/main" fontId="31" type="noConversion"/>
  </si>
  <si>
    <t>연직축에 대한 웨브의 경사각</t>
  </si>
  <si>
    <t xml:space="preserve">하중계수를 곱하지 않은 영구하중과 설계피로하중값의 2배 </t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</si>
  <si>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cr</t>
    </r>
    <phoneticPr xmlns="http://schemas.openxmlformats.org/spreadsheetml/2006/main" fontId="31" type="noConversion"/>
  </si>
  <si>
    <t>전단좌굴강도</t>
  </si>
  <si>
    <r xmlns="http://schemas.openxmlformats.org/spreadsheetml/2006/main">
      <t>V</t>
    </r>
    <r xmlns="http://schemas.openxmlformats.org/spreadsheetml/2006/main">
      <rPr>
        <vertAlign val="subscript"/>
        <sz val="9"/>
        <rFont val="맑은 고딕"/>
        <family val="3"/>
        <charset val="129"/>
      </rPr>
      <t>cr</t>
    </r>
    <r xmlns="http://schemas.openxmlformats.org/spreadsheetml/2006/main">
      <rPr>
        <sz val="9"/>
        <rFont val="맑은 고딕"/>
        <family val="3"/>
        <charset val="129"/>
      </rPr>
      <t xml:space="preserve"> </t>
    </r>
    <phoneticPr xmlns="http://schemas.openxmlformats.org/spreadsheetml/2006/main" fontId="31" type="noConversion"/>
  </si>
  <si>
    <r xmlns="http://schemas.openxmlformats.org/spreadsheetml/2006/main">
      <t>C∙V</t>
    </r>
    <r xmlns="http://schemas.openxmlformats.org/spreadsheetml/2006/main">
      <rPr>
        <vertAlign val="subscript"/>
        <sz val="9"/>
        <rFont val="맑은 고딕"/>
        <family val="3"/>
        <charset val="129"/>
      </rPr>
      <t>p</t>
    </r>
    <r xmlns="http://schemas.openxmlformats.org/spreadsheetml/2006/main">
      <rPr>
        <sz val="9"/>
        <rFont val="맑은 고딕"/>
        <family val="3"/>
        <charset val="129"/>
      </rPr>
      <t xml:space="preserve"> = C∙0.58F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Dt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phoneticPr xmlns="http://schemas.openxmlformats.org/spreadsheetml/2006/main" fontId="31" type="noConversion"/>
  </si>
  <si>
    <r xmlns="http://schemas.openxmlformats.org/spreadsheetml/2006/main">
      <t>1.57(Ek/F</t>
    </r>
    <r xmlns="http://schemas.openxmlformats.org/spreadsheetml/2006/main">
      <rPr>
        <vertAlign val="subscript"/>
        <sz val="9"/>
        <rFont val="맑은 고딕"/>
        <family val="3"/>
        <charset val="129"/>
      </rPr>
      <t>yw</t>
    </r>
    <r xmlns="http://schemas.openxmlformats.org/spreadsheetml/2006/main">
      <rPr>
        <sz val="9"/>
        <rFont val="맑은 고딕"/>
        <family val="3"/>
        <charset val="129"/>
      </rPr>
      <t>)/(D/t</t>
    </r>
    <r xmlns="http://schemas.openxmlformats.org/spreadsheetml/2006/main">
      <rPr>
        <vertAlign val="subscript"/>
        <sz val="9"/>
        <rFont val="맑은 고딕"/>
        <family val="3"/>
        <charset val="129"/>
      </rPr>
      <t>w</t>
    </r>
    <r xmlns="http://schemas.openxmlformats.org/spreadsheetml/2006/main">
      <rPr>
        <sz val="9"/>
        <rFont val="맑은 고딕"/>
        <family val="3"/>
        <charset val="129"/>
      </rPr>
      <t>)</t>
    </r>
    <r xmlns="http://schemas.openxmlformats.org/spreadsheetml/2006/main">
      <rPr>
        <vertAlign val="superscript"/>
        <sz val="9"/>
        <rFont val="맑은 고딕"/>
        <family val="3"/>
        <charset val="129"/>
      </rPr>
      <t>2</t>
    </r>
  </si>
  <si>
    <t>Calculation of k</t>
  </si>
  <si>
    <r xmlns="http://schemas.openxmlformats.org/spreadsheetml/2006/main">
      <t xml:space="preserve">강.설 4.3.3.1.9.2 specified k = 5.0, </t>
    </r>
    <r xmlns="http://schemas.openxmlformats.org/spreadsheetml/2006/main">
      <rPr>
        <sz val="9"/>
        <color rgb="FFFF0000"/>
        <rFont val="맑은 고딕"/>
        <family val="3"/>
        <charset val="129"/>
      </rPr>
      <t>however</t>
    </r>
    <r xmlns="http://schemas.openxmlformats.org/spreadsheetml/2006/main">
      <rPr>
        <sz val="9"/>
        <color rgb="FF002060"/>
        <rFont val="맑은 고딕"/>
        <family val="3"/>
        <charset val="129"/>
      </rPr>
      <t xml:space="preserve"> AASHTO 6.10.5.3 and Eq. 6.10.9.3.3-1 specified k = 5+5/(d</t>
    </r>
    <r xmlns="http://schemas.openxmlformats.org/spreadsheetml/2006/main">
      <rPr>
        <vertAlign val="subscript"/>
        <sz val="9"/>
        <color rgb="FF002060"/>
        <rFont val="맑은 고딕"/>
        <family val="3"/>
        <charset val="129"/>
      </rPr>
      <t>o</t>
    </r>
    <r xmlns="http://schemas.openxmlformats.org/spreadsheetml/2006/main">
      <rPr>
        <sz val="9"/>
        <color rgb="FF002060"/>
        <rFont val="맑은 고딕"/>
        <family val="3"/>
        <charset val="129"/>
      </rPr>
      <t>/D)</t>
    </r>
    <r xmlns="http://schemas.openxmlformats.org/spreadsheetml/2006/main">
      <rPr>
        <vertAlign val="superscript"/>
        <sz val="9"/>
        <color rgb="FF002060"/>
        <rFont val="맑은 고딕"/>
        <family val="3"/>
        <charset val="129"/>
      </rPr>
      <t xml:space="preserve">2 </t>
    </r>
    <phoneticPr xmlns="http://schemas.openxmlformats.org/spreadsheetml/2006/main" fontId="31" type="noConversion"/>
  </si>
  <si>
    <r xmlns="http://schemas.openxmlformats.org/spreadsheetml/2006/main">
      <t>Although V</t>
    </r>
    <r xmlns="http://schemas.openxmlformats.org/spreadsheetml/2006/main">
      <rPr>
        <vertAlign val="subscript"/>
        <sz val="9"/>
        <color rgb="FF002060"/>
        <rFont val="맑은 고딕"/>
        <family val="3"/>
        <charset val="129"/>
      </rPr>
      <t>u</t>
    </r>
    <r xmlns="http://schemas.openxmlformats.org/spreadsheetml/2006/main">
      <rPr>
        <sz val="9"/>
        <color rgb="FF002060"/>
        <rFont val="맑은 고딕"/>
        <family val="3"/>
        <charset val="129"/>
      </rPr>
      <t>, V</t>
    </r>
    <r xmlns="http://schemas.openxmlformats.org/spreadsheetml/2006/main">
      <rPr>
        <vertAlign val="subscript"/>
        <sz val="9"/>
        <color rgb="FF002060"/>
        <rFont val="맑은 고딕"/>
        <family val="3"/>
        <charset val="129"/>
      </rPr>
      <t>cr</t>
    </r>
    <r xmlns="http://schemas.openxmlformats.org/spreadsheetml/2006/main">
      <rPr>
        <sz val="9"/>
        <color rgb="FF002060"/>
        <rFont val="맑은 고딕"/>
        <family val="3"/>
        <charset val="129"/>
      </rPr>
      <t xml:space="preserve"> are the </t>
    </r>
    <r xmlns="http://schemas.openxmlformats.org/spreadsheetml/2006/main">
      <rPr>
        <sz val="9"/>
        <color rgb="FFFF0000"/>
        <rFont val="맑은 고딕"/>
        <family val="3"/>
        <charset val="129"/>
      </rPr>
      <t>same</t>
    </r>
    <r xmlns="http://schemas.openxmlformats.org/spreadsheetml/2006/main">
      <rPr>
        <sz val="9"/>
        <color rgb="FF002060"/>
        <rFont val="맑은 고딕"/>
        <family val="3"/>
        <charset val="129"/>
      </rPr>
      <t xml:space="preserve"> in two codes, but k is calculated </t>
    </r>
    <r xmlns="http://schemas.openxmlformats.org/spreadsheetml/2006/main">
      <rPr>
        <sz val="9"/>
        <color rgb="FFFF0000"/>
        <rFont val="맑은 고딕"/>
        <family val="3"/>
        <charset val="129"/>
      </rPr>
      <t xml:space="preserve">differently </t>
    </r>
    <phoneticPr xmlns="http://schemas.openxmlformats.org/spreadsheetml/2006/main" fontId="31" type="noConversion"/>
  </si>
  <si>
    <r xmlns="http://schemas.openxmlformats.org/spreadsheetml/2006/main">
      <t xml:space="preserve">If using K = 5.0 as 강.설, </t>
    </r>
    <r xmlns="http://schemas.openxmlformats.org/spreadsheetml/2006/main">
      <rPr>
        <sz val="9"/>
        <color rgb="FFFF0000"/>
        <rFont val="맑은 고딕"/>
        <family val="3"/>
        <charset val="129"/>
      </rPr>
      <t>C = 0.1</t>
    </r>
    <r xmlns="http://schemas.openxmlformats.org/spreadsheetml/2006/main">
      <rPr>
        <sz val="9"/>
        <color rgb="FF002060"/>
        <rFont val="맑은 고딕"/>
        <family val="3"/>
        <charset val="129"/>
      </rPr>
      <t>, but if using K = 5+5/(d</t>
    </r>
    <r xmlns="http://schemas.openxmlformats.org/spreadsheetml/2006/main">
      <rPr>
        <vertAlign val="subscript"/>
        <sz val="9"/>
        <color rgb="FF002060"/>
        <rFont val="맑은 고딕"/>
        <family val="3"/>
        <charset val="129"/>
      </rPr>
      <t>o</t>
    </r>
    <r xmlns="http://schemas.openxmlformats.org/spreadsheetml/2006/main">
      <rPr>
        <sz val="9"/>
        <color rgb="FF002060"/>
        <rFont val="맑은 고딕"/>
        <family val="3"/>
        <charset val="129"/>
      </rPr>
      <t>/D)</t>
    </r>
    <r xmlns="http://schemas.openxmlformats.org/spreadsheetml/2006/main">
      <rPr>
        <vertAlign val="superscript"/>
        <sz val="9"/>
        <color rgb="FF002060"/>
        <rFont val="맑은 고딕"/>
        <family val="3"/>
        <charset val="129"/>
      </rPr>
      <t>2</t>
    </r>
    <r xmlns="http://schemas.openxmlformats.org/spreadsheetml/2006/main">
      <rPr>
        <sz val="9"/>
        <color rgb="FF002060"/>
        <rFont val="맑은 고딕"/>
        <family val="3"/>
        <charset val="129"/>
      </rPr>
      <t xml:space="preserve"> as AASHTO, </t>
    </r>
    <r xmlns="http://schemas.openxmlformats.org/spreadsheetml/2006/main">
      <rPr>
        <sz val="9"/>
        <color rgb="FFFF0000"/>
        <rFont val="맑은 고딕"/>
        <family val="3"/>
        <charset val="129"/>
      </rPr>
      <t>C = 0.5</t>
    </r>
    <phoneticPr xmlns="http://schemas.openxmlformats.org/spreadsheetml/2006/main" fontId="31" type="noConversion"/>
  </si>
  <si>
    <r xmlns="http://schemas.openxmlformats.org/spreadsheetml/2006/main">
      <t xml:space="preserve">The value 0.1 of C is </t>
    </r>
    <r xmlns="http://schemas.openxmlformats.org/spreadsheetml/2006/main">
      <rPr>
        <sz val="9"/>
        <color rgb="FFFF0000"/>
        <rFont val="맑은 고딕"/>
        <family val="3"/>
        <charset val="129"/>
      </rPr>
      <t>very small</t>
    </r>
    <r xmlns="http://schemas.openxmlformats.org/spreadsheetml/2006/main">
      <rPr>
        <sz val="9"/>
        <color rgb="FF002060"/>
        <rFont val="맑은 고딕"/>
        <family val="3"/>
        <charset val="129"/>
      </rPr>
      <t xml:space="preserve">, lead to Vcr = </t>
    </r>
    <r xmlns="http://schemas.openxmlformats.org/spreadsheetml/2006/main">
      <rPr>
        <sz val="9"/>
        <color rgb="FFFF0000"/>
        <rFont val="맑은 고딕"/>
        <family val="3"/>
        <charset val="129"/>
      </rPr>
      <t>10%</t>
    </r>
    <r xmlns="http://schemas.openxmlformats.org/spreadsheetml/2006/main">
      <rPr>
        <sz val="9"/>
        <color rgb="FF002060"/>
        <rFont val="맑은 고딕"/>
        <family val="3"/>
        <charset val="129"/>
      </rPr>
      <t xml:space="preserve"> of Vp =&gt; almost </t>
    </r>
    <r xmlns="http://schemas.openxmlformats.org/spreadsheetml/2006/main">
      <rPr>
        <b/>
        <sz val="9"/>
        <color rgb="FFFF0000"/>
        <rFont val="맑은 고딕"/>
        <family val="3"/>
        <charset val="129"/>
      </rPr>
      <t>unsatisfied (NG)</t>
    </r>
    <r xmlns="http://schemas.openxmlformats.org/spreadsheetml/2006/main">
      <rPr>
        <sz val="9"/>
        <color rgb="FF002060"/>
        <rFont val="맑은 고딕"/>
        <family val="3"/>
        <charset val="129"/>
      </rPr>
      <t xml:space="preserve"> for the web with thickness below </t>
    </r>
    <r xmlns="http://schemas.openxmlformats.org/spreadsheetml/2006/main">
      <rPr>
        <sz val="9"/>
        <color rgb="FFFF0000"/>
        <rFont val="맑은 고딕"/>
        <family val="3"/>
        <charset val="129"/>
      </rPr>
      <t>14mm</t>
    </r>
    <phoneticPr xmlns="http://schemas.openxmlformats.org/spreadsheetml/2006/main" fontId="31" type="noConversion"/>
  </si>
  <si>
    <r xmlns="http://schemas.openxmlformats.org/spreadsheetml/2006/main">
      <rPr>
        <sz val="9"/>
        <color rgb="FFFF0000"/>
        <rFont val="맑은 고딕"/>
        <family val="3"/>
        <charset val="129"/>
      </rPr>
      <t>=&gt; The author decided to use k in AASHTO to check in this case. K value in AASHTO seems to be more suitable</t>
    </r>
    <phoneticPr xmlns="http://schemas.openxmlformats.org/spreadsheetml/2006/main" fontId="31" type="noConversion"/>
  </si>
  <si>
    <t>Table 7.4.2. Checking web shear</t>
  </si>
  <si>
    <t>전단력</t>
  </si>
  <si>
    <t>설계피로하중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</si>
</sst>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_-;\-* #,##0_-;_-* &quot;-&quot;_-;_-@_-"/>
    <numFmt numFmtId="165" formatCode="&quot;x&quot;#"/>
    <numFmt numFmtId="166" formatCode="0.0000000"/>
    <numFmt numFmtId="167" formatCode="0.0"/>
    <numFmt numFmtId="168" formatCode="0.000"/>
    <numFmt numFmtId="169" formatCode="0.E+00"/>
    <numFmt numFmtId="170" formatCode="_-* #,##0.0_-;\-* #,##0.0_-;_-* &quot;-&quot;??_-;_-@_-"/>
    <numFmt numFmtId="171" formatCode="0_);[Red]\(0\)"/>
    <numFmt numFmtId="172" formatCode="0.0E+00"/>
    <numFmt numFmtId="173" formatCode="0.0.E+00"/>
    <numFmt numFmtId="174" formatCode="0.000E+00"/>
  </numFmts>
  <fonts count="46">
    <font>
      <sz val="11"/>
      <color theme="1"/>
      <name val="Calibri"/>
      <family val="2"/>
      <scheme val="minor"/>
    </font>
    <font>
      <sz val="9"/>
      <name val="맑은 고딕"/>
      <family val="3"/>
    </font>
    <font>
      <b/>
      <sz val="14"/>
      <name val="맑은 고딕"/>
      <family val="3"/>
    </font>
    <font>
      <b/>
      <sz val="14"/>
      <color theme="0"/>
      <name val="맑은 고딕"/>
      <family val="3"/>
    </font>
    <font>
      <b/>
      <sz val="14"/>
      <color theme="8" tint="-0.499984740745262"/>
      <name val="맑은 고딕"/>
      <family val="3"/>
    </font>
    <font>
      <b/>
      <sz val="9"/>
      <color theme="4" tint="-0.249977111117893"/>
      <name val="맑은 고딕"/>
      <family val="3"/>
    </font>
    <font>
      <b/>
      <sz val="12"/>
      <color theme="8" tint="-0.499984740745262"/>
      <name val="맑은 고딕"/>
      <family val="3"/>
    </font>
    <font>
      <sz val="9"/>
      <name val="Symbol"/>
      <family val="1"/>
    </font>
    <font>
      <sz val="9"/>
      <color rgb="FFFF0000"/>
      <name val="맑은 고딕"/>
      <family val="3"/>
    </font>
    <font>
      <b/>
      <sz val="9"/>
      <name val="맑은 고딕"/>
      <family val="3"/>
    </font>
    <font>
      <b/>
      <sz val="9"/>
      <color rgb="FFFF0000"/>
      <name val="맑은 고딕"/>
      <family val="3"/>
    </font>
    <font>
      <i/>
      <sz val="9"/>
      <color indexed="8"/>
      <name val="맑은 고딕"/>
      <family val="3"/>
    </font>
    <font>
      <i/>
      <sz val="9"/>
      <name val="맑은 고딕"/>
      <family val="3"/>
    </font>
    <font>
      <b/>
      <sz val="9"/>
      <color rgb="FF0000FF"/>
      <name val="맑은 고딕"/>
      <family val="3"/>
    </font>
    <font>
      <b/>
      <sz val="10"/>
      <color theme="4" tint="-0.249977111117893"/>
      <name val="맑은 고딕"/>
      <family val="3"/>
    </font>
    <font>
      <sz val="9"/>
      <name val="맑은 고딕"/>
      <family val="1"/>
    </font>
    <font>
      <sz val="9.55"/>
      <name val="맑은 고딕"/>
      <family val="3"/>
    </font>
    <font>
      <sz val="9"/>
      <name val="Calibri"/>
      <family val="3"/>
    </font>
    <font>
      <sz val="9"/>
      <name val="맑은 고딕"/>
      <family val="3"/>
    </font>
    <font>
      <sz val="9"/>
      <name val="Calibri"/>
      <family val="3"/>
    </font>
    <font>
      <sz val="9"/>
      <color theme="4" tint="-0.249977111117893"/>
      <name val="맑은 고딕"/>
      <family val="3"/>
    </font>
    <font>
      <sz val="8"/>
      <name val="맑은 고딕"/>
      <family val="3"/>
    </font>
    <font>
      <sz val="9"/>
      <color rgb="FF0000FF"/>
      <name val="맑은 고딕"/>
      <family val="3"/>
    </font>
    <font>
      <sz val="11"/>
      <color theme="1"/>
      <name val="Calibri"/>
      <family val="2"/>
      <scheme val="minor"/>
    </font>
    <font>
      <b/>
      <sz val="8"/>
      <color rgb="FFFF0000"/>
      <name val="맑은 고딕"/>
      <family val="3"/>
    </font>
    <font>
      <sz val="9"/>
      <color indexed="8"/>
      <name val="맑은 고딕"/>
      <family val="3"/>
    </font>
    <font>
      <sz val="7"/>
      <color theme="8" tint="-0.249977111117893"/>
      <name val="맑은 고딕"/>
      <family val="3"/>
    </font>
    <font>
      <sz val="9"/>
      <name val="Calibri Light"/>
      <family val="3"/>
      <scheme val="major"/>
    </font>
    <font>
      <sz val="9"/>
      <name val="Malgun Gothic Semilight"/>
      <family val="2"/>
    </font>
    <font>
      <sz val="9"/>
      <name val="Malgun Gothic Semilight"/>
      <family val="3"/>
    </font>
    <font>
      <b/>
      <i/>
      <sz val="9"/>
      <name val="맑은 고딕"/>
      <family val="3"/>
    </font>
    <font>
      <sz val="9"/>
      <color theme="1"/>
      <name val="Calibri Light"/>
      <family val="3"/>
      <scheme val="major"/>
    </font>
    <font>
      <sz val="9"/>
      <name val="Calibri Light"/>
      <family val="3"/>
      <scheme val="major"/>
    </font>
    <font>
      <b/>
      <sz val="11"/>
      <color rgb="FFFF0000"/>
      <name val="Calibri"/>
      <family val="3"/>
      <scheme val="minor"/>
    </font>
    <font>
      <sz val="8"/>
      <color theme="1"/>
      <name val="맑은 고딕"/>
      <family val="3"/>
    </font>
    <font>
      <sz val="8"/>
      <color rgb="FF0000FF"/>
      <name val="맑은 고딕"/>
      <family val="3"/>
    </font>
    <font>
      <b/>
      <sz val="9"/>
      <name val="Symbol"/>
      <family val="1"/>
    </font>
    <font>
      <sz val="11"/>
      <name val="Calibri"/>
      <family val="3"/>
      <scheme val="minor"/>
    </font>
    <font>
      <i/>
      <sz val="9"/>
      <name val="Calibri Light"/>
      <family val="3"/>
      <scheme val="major"/>
    </font>
    <font>
      <sz val="9"/>
      <name val="맑은 고딕"/>
      <family val="3"/>
    </font>
    <font>
      <b/>
      <sz val="9"/>
      <name val="맑은 고딕"/>
      <family val="3"/>
    </font>
    <font>
      <sz val="9"/>
      <color theme="1"/>
      <name val="맑은 고딕"/>
      <family val="3"/>
    </font>
    <font>
      <sz val="9"/>
      <name val="Calibri"/>
      <family val="1"/>
    </font>
    <font>
      <sz val="9"/>
      <color rgb="FF002060"/>
      <name val="맑은 고딕"/>
      <family val="3"/>
    </font>
    <font>
      <sz val="8"/>
      <color rgb="FFFF0000"/>
      <name val="맑은 고딕"/>
      <family val="3"/>
    </font>
    <font>
      <sz val="8"/>
      <color theme="1"/>
      <name val="맑은 고딕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auto="1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23" fillId="0" borderId="0">
      <alignment vertical="center"/>
    </xf>
    <xf numFmtId="164" fontId="23" fillId="0" borderId="0">
      <alignment vertical="center"/>
    </xf>
    <xf numFmtId="0" fontId="23" fillId="0" borderId="0"/>
  </cellStyleXfs>
  <cellXfs count="700">
    <xf numFmtId="0" applyNumberFormat="1" fontId="0" applyFont="1" fillId="0" applyFill="1" borderId="0" applyBorder="1" xfId="0" applyProtection="1"/>
    <xf numFmtId="164" applyNumberFormat="1" fontId="23" applyFont="1" fillId="0" applyFill="1" borderId="0" applyBorder="1" xfId="1" applyProtection="1" applyAlignment="1">
      <alignment vertical="center"/>
    </xf>
    <xf numFmtId="164" applyNumberFormat="1" fontId="23" applyFont="1" fillId="0" applyFill="1" borderId="0" applyBorder="1" xfId="2" applyProtection="1" applyAlignment="1">
      <alignment vertical="center"/>
    </xf>
    <xf numFmtId="0" applyNumberFormat="1" fontId="23" applyFont="1" fillId="0" applyFill="1" borderId="0" applyBorder="1" xfId="3" applyProtection="1"/>
    <xf numFmtId="0" applyNumberFormat="1" fontId="1" applyFont="1" fillId="0" applyFill="1" borderId="0" applyBorder="1" xfId="0" applyProtection="1" applyAlignment="1">
      <alignment vertical="center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2" applyFont="1" fillId="2" applyFill="1" borderId="0" applyBorder="1" xfId="0" quotePrefix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0" applyNumberFormat="1" fontId="2" applyFont="1" fillId="0" applyFill="1" borderId="0" applyBorder="1" xfId="0" quotePrefix="1" applyProtection="1" applyAlignment="1">
      <alignment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6" applyFont="1" fillId="0" applyFill="1" borderId="0" applyBorder="1" xfId="0" quotePrefix="1" applyProtection="1" applyAlignment="1">
      <alignment vertical="center"/>
    </xf>
    <xf numFmtId="0" applyNumberFormat="1" fontId="7" applyFont="1" fillId="0" applyFill="1" borderId="0" applyBorder="1" xfId="0" applyProtection="1" applyAlignment="1">
      <alignment horizontal="right" vertical="center"/>
    </xf>
    <xf numFmtId="0" applyNumberFormat="1" fontId="1" applyFont="1" fillId="0" applyFill="1" borderId="0" applyBorder="1" xfId="0" applyProtection="1" applyAlignment="1">
      <alignment horizontal="right" vertical="center"/>
    </xf>
    <xf numFmtId="0" applyNumberFormat="1" fontId="8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quotePrefix="1" applyProtection="1" applyAlignment="1">
      <alignment vertical="center"/>
    </xf>
    <xf numFmtId="0" applyNumberFormat="1" fontId="9" applyFont="1" fillId="0" applyFill="1" borderId="1" applyBorder="1" xfId="0" applyProtection="1" applyAlignment="1">
      <alignment vertical="center"/>
    </xf>
    <xf numFmtId="0" applyNumberFormat="1" fontId="1" applyFont="1" fillId="0" applyFill="1" borderId="2" applyBorder="1" xfId="0" applyProtection="1" applyAlignment="1">
      <alignment vertical="center"/>
    </xf>
    <xf numFmtId="0" applyNumberFormat="1" fontId="1" applyFont="1" fillId="0" applyFill="1" borderId="3" applyBorder="1" xfId="0" applyProtection="1" applyAlignment="1">
      <alignment vertical="center"/>
    </xf>
    <xf numFmtId="0" applyNumberFormat="1" fontId="10" applyFont="1" fillId="0" applyFill="1" borderId="4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0" applyNumberFormat="1" fontId="11" applyFont="1" fillId="0" applyFill="1" borderId="5" applyBorder="1" xfId="0" applyProtection="1" applyAlignment="1">
      <alignment horizontal="right" vertical="center"/>
    </xf>
    <xf numFmtId="0" applyNumberFormat="1" fontId="10" applyFont="1" fillId="0" applyFill="1" borderId="6" applyBorder="1" xfId="0" applyProtection="1" applyAlignment="1">
      <alignment vertical="center"/>
    </xf>
    <xf numFmtId="0" applyNumberFormat="1" fontId="1" applyFont="1" fillId="0" applyFill="1" borderId="7" applyBorder="1" xfId="0" applyProtection="1" applyAlignment="1">
      <alignment vertical="center"/>
    </xf>
    <xf numFmtId="0" applyNumberFormat="1" fontId="9" applyFont="1" fillId="0" applyFill="1" borderId="7" applyBorder="1" xfId="0" applyProtection="1" applyAlignment="1">
      <alignment vertical="center"/>
    </xf>
    <xf numFmtId="0" applyNumberFormat="1" fontId="12" applyFont="1" fillId="0" applyFill="1" borderId="8" applyBorder="1" xfId="0" applyProtection="1" applyAlignment="1">
      <alignment vertical="center"/>
    </xf>
    <xf numFmtId="165" applyNumberFormat="1" fontId="9" applyFont="1" fillId="0" applyFill="1" borderId="4" applyBorder="1" xfId="0" applyProtection="1" applyAlignment="1">
      <alignment horizontal="left" vertical="center"/>
    </xf>
    <xf numFmtId="0" applyNumberFormat="1" fontId="13" applyFont="1" fillId="0" applyFill="1" borderId="0" applyBorder="1" xfId="0" applyProtection="1" applyAlignment="1">
      <alignment vertical="center"/>
    </xf>
    <xf numFmtId="0" applyNumberFormat="1" fontId="12" applyFont="1" fillId="0" applyFill="1" borderId="5" applyBorder="1" xfId="0" applyProtection="1" applyAlignment="1">
      <alignment vertical="center"/>
    </xf>
    <xf numFmtId="0" applyNumberFormat="1" fontId="1" applyFont="1" fillId="0" applyFill="1" borderId="4" applyBorder="1" xfId="0" applyProtection="1" applyAlignment="1">
      <alignment vertical="center"/>
    </xf>
    <xf numFmtId="0" applyNumberFormat="1" fontId="7" applyFont="1" fillId="0" applyFill="1" borderId="4" applyBorder="1" xfId="0" applyProtection="1" applyAlignment="1">
      <alignment horizontal="right" vertical="center"/>
    </xf>
    <xf numFmtId="0" applyNumberFormat="1" fontId="1" applyFont="1" fillId="0" applyFill="1" borderId="0" applyBorder="1" xfId="0" quotePrefix="1" applyProtection="1" applyAlignment="1">
      <alignment vertical="center"/>
    </xf>
    <xf numFmtId="0" applyNumberFormat="1" fontId="1" applyFont="1" fillId="0" applyFill="1" borderId="6" applyBorder="1" xfId="0" applyProtection="1" applyAlignment="1">
      <alignment vertical="center"/>
    </xf>
    <xf numFmtId="0" applyNumberFormat="1" fontId="9" applyFont="1" fillId="0" applyFill="1" borderId="4" applyBorder="1" xfId="0" applyProtection="1" applyAlignment="1">
      <alignment vertical="center"/>
    </xf>
    <xf numFmtId="0" applyNumberFormat="1" fontId="12" applyFont="1" fillId="0" applyFill="1" borderId="5" applyBorder="1" xfId="0" quotePrefix="1" applyProtection="1" applyAlignment="1">
      <alignment vertical="center"/>
    </xf>
    <xf numFmtId="0" applyNumberFormat="1" fontId="1" applyFont="1" fillId="0" applyFill="1" borderId="9" applyBorder="1" xfId="0" applyProtection="1" applyAlignment="1">
      <alignment vertical="center"/>
    </xf>
    <xf numFmtId="0" applyNumberFormat="1" fontId="1" applyFont="1" fillId="0" applyFill="1" borderId="10" applyBorder="1" xfId="0" applyProtection="1" applyAlignment="1">
      <alignment vertical="center"/>
    </xf>
    <xf numFmtId="166" applyNumberFormat="1" fontId="1" applyFont="1" fillId="0" applyFill="1" borderId="10" applyBorder="1" xfId="0" applyProtection="1" applyAlignment="1">
      <alignment vertical="center"/>
    </xf>
    <xf numFmtId="0" applyNumberFormat="1" fontId="1" applyFont="1" fillId="0" applyFill="1" borderId="11" applyBorder="1" xfId="0" applyProtection="1" applyAlignment="1">
      <alignment vertical="center"/>
    </xf>
    <xf numFmtId="166" applyNumberFormat="1" fontId="1" applyFont="1" fillId="0" applyFill="1" borderId="0" applyBorder="1" xfId="0" applyProtection="1" applyAlignment="1">
      <alignment vertical="center"/>
    </xf>
    <xf numFmtId="0" applyNumberFormat="1" fontId="14" applyFont="1" fillId="0" applyFill="1" borderId="0" applyBorder="1" xfId="0" quotePrefix="1" applyProtection="1" applyAlignment="1">
      <alignment horizontal="left" vertical="center"/>
    </xf>
    <xf numFmtId="0" applyNumberFormat="1" fontId="9" applyFont="1" fillId="0" applyFill="1" borderId="0" applyBorder="1" xfId="0" quotePrefix="1" applyProtection="1" applyAlignment="1">
      <alignment horizontal="left" vertical="center"/>
    </xf>
    <xf numFmtId="0" applyNumberFormat="1" fontId="9" applyFont="1" fillId="0" applyFill="1" borderId="12" applyBorder="1" xfId="0" applyProtection="1" applyAlignment="1">
      <alignment vertical="center"/>
    </xf>
    <xf numFmtId="0" applyNumberFormat="1" fontId="1" applyFont="1" fillId="0" applyFill="1" borderId="13" applyBorder="1" xfId="0" applyProtection="1" applyAlignment="1">
      <alignment vertical="center"/>
    </xf>
    <xf numFmtId="0" applyNumberFormat="1" fontId="9" applyFont="1" fillId="0" applyFill="1" borderId="13" applyBorder="1" xfId="0" applyProtection="1" applyAlignment="1">
      <alignment vertical="center"/>
    </xf>
    <xf numFmtId="166" applyNumberFormat="1" fontId="1" applyFont="1" fillId="0" applyFill="1" borderId="13" applyBorder="1" xfId="0" applyProtection="1" applyAlignment="1">
      <alignment vertical="center"/>
    </xf>
    <xf numFmtId="0" applyNumberFormat="1" fontId="1" applyFont="1" fillId="0" applyFill="1" borderId="14" applyBorder="1" xfId="0" applyProtection="1" applyAlignment="1">
      <alignment vertical="center"/>
    </xf>
    <xf numFmtId="0" applyNumberFormat="1" fontId="9" applyFont="1" fillId="3" applyFill="1" borderId="15" applyBorder="1" xfId="0" applyProtection="1" applyAlignment="1">
      <alignment vertical="center"/>
    </xf>
    <xf numFmtId="0" applyNumberFormat="1" fontId="1" applyFont="1" fillId="3" applyFill="1" borderId="15" applyBorder="1" xfId="0" applyProtection="1" applyAlignment="1">
      <alignment vertical="center"/>
    </xf>
    <xf numFmtId="0" applyNumberFormat="1" fontId="1" applyFont="1" fillId="0" applyFill="1" borderId="16" applyBorder="1" xfId="0" applyProtection="1" applyAlignment="1">
      <alignment vertical="center"/>
    </xf>
    <xf numFmtId="0" applyNumberFormat="1" fontId="1" applyFont="1" fillId="0" applyFill="1" borderId="17" applyBorder="1" xfId="0" applyProtection="1" applyAlignment="1">
      <alignment vertical="center"/>
    </xf>
    <xf numFmtId="0" applyNumberFormat="1" fontId="1" applyFont="1" fillId="0" applyFill="1" borderId="7" applyBorder="1" xfId="0" applyProtection="1" applyAlignment="1">
      <alignment horizontal="center" vertical="center"/>
    </xf>
    <xf numFmtId="0" applyNumberFormat="1" fontId="1" applyFont="1" fillId="0" applyFill="1" borderId="17" applyBorder="1" xfId="0" applyProtection="1" applyAlignment="1">
      <alignment horizontal="center" vertical="center"/>
    </xf>
    <xf numFmtId="0" applyNumberFormat="1" fontId="1" applyFont="1" fillId="0" applyFill="1" borderId="7" applyBorder="1" xfId="0" applyProtection="1" applyAlignment="1">
      <alignment horizontal="left" vertical="center"/>
    </xf>
    <xf numFmtId="0" applyNumberFormat="1" fontId="1" applyFont="1" fillId="0" applyFill="1" borderId="0" applyBorder="1" xfId="0" applyProtection="1" applyAlignment="1">
      <alignment horizontal="left" vertical="center"/>
    </xf>
    <xf numFmtId="167" applyNumberFormat="1" fontId="1" applyFont="1" fillId="0" applyFill="1" borderId="0" applyBorder="1" xfId="0" applyProtection="1" applyAlignment="1">
      <alignment horizontal="left" vertical="center"/>
    </xf>
    <xf numFmtId="0" applyNumberFormat="1" fontId="16" applyFont="1" fillId="0" applyFill="1" borderId="0" applyBorder="1" xfId="0" applyProtection="1" applyAlignment="1">
      <alignment vertical="center"/>
    </xf>
    <xf numFmtId="0" applyNumberFormat="1" fontId="18" applyFont="1" fillId="0" applyFill="1" borderId="0" applyBorder="1" xfId="0" applyProtection="1" applyAlignment="1">
      <alignment vertical="center"/>
    </xf>
    <xf numFmtId="167" applyNumberFormat="1" fontId="8" applyFont="1" fillId="0" applyFill="1" borderId="0" applyBorder="1" xfId="0" applyProtection="1" applyAlignment="1">
      <alignment vertical="center"/>
    </xf>
    <xf numFmtId="0" applyNumberFormat="1" fontId="1" applyFont="1" fillId="0" applyFill="1" borderId="16" applyBorder="1" xfId="0" applyProtection="1" applyAlignment="1">
      <alignment horizontal="center" vertical="center"/>
    </xf>
    <xf numFmtId="0" applyNumberFormat="1" fontId="12" applyFont="1" fillId="0" applyFill="1" borderId="0" applyBorder="1" xfId="0" applyProtection="1" applyAlignment="1">
      <alignment vertical="center"/>
    </xf>
    <xf numFmtId="169" applyNumberFormat="1" fontId="21" applyFont="1" fillId="0" applyFill="1" borderId="33" applyBorder="1" xfId="0" applyProtection="1" applyAlignment="1">
      <alignment vertical="center"/>
    </xf>
    <xf numFmtId="0" applyNumberFormat="1" fontId="1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0" applyBorder="1" xfId="0" quotePrefix="1" applyProtection="1" applyAlignment="1">
      <alignment horizontal="left" vertical="center"/>
    </xf>
    <xf numFmtId="0" applyNumberFormat="1" fontId="1" applyFont="1" fillId="0" applyFill="1" borderId="7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vertical="center"/>
    </xf>
    <xf numFmtId="0" applyNumberFormat="1" fontId="5" applyFont="1" fillId="0" applyFill="1" borderId="0" applyBorder="1" xfId="0" applyProtection="1" applyAlignment="1">
      <alignment vertical="center"/>
    </xf>
    <xf numFmtId="0" applyNumberFormat="1" fontId="5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/>
    <xf numFmtId="0" applyNumberFormat="1" fontId="24" applyFont="1" fillId="0" applyFill="1" borderId="0" applyBorder="1" xfId="0" applyProtection="1" applyAlignment="1">
      <alignment horizontal="right" vertical="center"/>
    </xf>
    <xf numFmtId="0" applyNumberFormat="1" fontId="24" applyFont="1" fillId="0" applyFill="1" borderId="0" applyBorder="1" xfId="0" applyProtection="1" applyAlignment="1">
      <alignment vertical="center"/>
    </xf>
    <xf numFmtId="0" applyNumberFormat="1" fontId="24" applyFont="1" fillId="0" applyFill="1" borderId="0" applyBorder="1" xfId="0" quotePrefix="1" applyProtection="1" applyAlignment="1">
      <alignment vertical="center"/>
    </xf>
    <xf numFmtId="0" applyNumberFormat="1" fontId="0" applyFont="1" fillId="0" applyFill="1" borderId="0" applyBorder="1" xfId="0" applyProtection="1"/>
    <xf numFmtId="0" applyNumberFormat="1" fontId="1" applyFont="1" fillId="3" applyFill="1" borderId="19" applyBorder="1" xfId="0" applyProtection="1" applyAlignment="1">
      <alignment horizontal="center" vertical="center"/>
    </xf>
    <xf numFmtId="0" applyNumberFormat="1" fontId="1" applyFont="1" fillId="3" applyFill="1" borderId="23" applyBorder="1" xfId="0" applyProtection="1" applyAlignment="1">
      <alignment horizontal="center" vertical="center"/>
    </xf>
    <xf numFmtId="0" applyNumberFormat="1" fontId="1" applyFont="1" fillId="3" applyFill="1" borderId="24" applyBorder="1" xfId="0" applyProtection="1" applyAlignment="1">
      <alignment horizontal="center" vertical="center"/>
    </xf>
    <xf numFmtId="0" applyNumberFormat="1" fontId="1" applyFont="1" fillId="3" applyFill="1" borderId="25" applyBorder="1" xfId="0" applyProtection="1" applyAlignment="1">
      <alignment horizontal="center" vertical="center"/>
    </xf>
    <xf numFmtId="0" applyNumberFormat="1" fontId="1" applyFont="1" fillId="3" applyFill="1" borderId="26" applyBorder="1" xfId="0" applyProtection="1" applyAlignment="1">
      <alignment horizontal="center" vertical="center"/>
    </xf>
    <xf numFmtId="0" applyNumberFormat="1" fontId="1" applyFont="1" fillId="3" applyFill="1" borderId="27" applyBorder="1" xfId="0" applyProtection="1" applyAlignment="1">
      <alignment horizontal="center" vertical="center"/>
    </xf>
    <xf numFmtId="0" applyNumberFormat="1" fontId="1" applyFont="1" fillId="3" applyFill="1" borderId="31" applyBorder="1" xfId="0" applyProtection="1" applyAlignment="1">
      <alignment horizontal="center" vertical="center"/>
    </xf>
    <xf numFmtId="0" applyNumberFormat="1" fontId="1" applyFont="1" fillId="3" applyFill="1" borderId="32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0" applyNumberFormat="1" fontId="1" applyFont="1" fillId="0" applyFill="1" borderId="0" applyBorder="1" xfId="0" quotePrefix="1" applyProtection="1" applyAlignment="1">
      <alignment vertical="center"/>
    </xf>
    <xf numFmtId="0" applyNumberFormat="1" fontId="0" applyFont="1" fillId="0" applyFill="1" borderId="4" applyBorder="1" xfId="0" applyProtection="1"/>
    <xf numFmtId="0" applyNumberFormat="1" fontId="9" applyFont="1" fillId="0" applyFill="1" borderId="10" applyBorder="1" xfId="0" applyProtection="1" applyAlignment="1">
      <alignment vertical="center"/>
    </xf>
    <xf numFmtId="0" applyNumberFormat="1" fontId="12" applyFont="1" fillId="0" applyFill="1" borderId="11" applyBorder="1" xfId="0" applyProtection="1" applyAlignment="1">
      <alignment vertical="center"/>
    </xf>
    <xf numFmtId="0" applyNumberFormat="1" fontId="1" applyFont="1" fillId="0" applyFill="1" borderId="5" applyBorder="1" xfId="0" applyProtection="1" applyAlignment="1">
      <alignment vertical="center"/>
    </xf>
    <xf numFmtId="0" applyNumberFormat="1" fontId="0" applyFont="1" fillId="0" applyFill="1" borderId="5" applyBorder="1" xfId="0" applyProtection="1"/>
    <xf numFmtId="0" applyNumberFormat="1" fontId="1" applyFont="1" fillId="0" applyFill="1" borderId="5" applyBorder="1" xfId="0" quotePrefix="1" applyProtection="1" applyAlignment="1">
      <alignment vertical="center"/>
    </xf>
    <xf numFmtId="0" applyNumberFormat="1" fontId="0" applyFont="1" fillId="0" applyFill="1" borderId="9" applyBorder="1" xfId="0" applyProtection="1"/>
    <xf numFmtId="0" applyNumberFormat="1" fontId="0" applyFont="1" fillId="0" applyFill="1" borderId="34" applyBorder="1" xfId="0" applyProtection="1"/>
    <xf numFmtId="0" applyNumberFormat="1" fontId="1" applyFont="1" fillId="0" applyFill="1" borderId="17" applyBorder="1" xfId="0" quotePrefix="1" applyProtection="1" applyAlignment="1">
      <alignment vertical="center"/>
    </xf>
    <xf numFmtId="0" applyNumberFormat="1" fontId="0" applyFont="1" fillId="0" applyFill="1" borderId="17" applyBorder="1" xfId="0" applyProtection="1"/>
    <xf numFmtId="0" applyNumberFormat="1" fontId="1" applyFont="1" fillId="0" applyFill="1" borderId="35" applyBorder="1" xfId="0" applyProtection="1" applyAlignment="1">
      <alignment vertical="center"/>
    </xf>
    <xf numFmtId="0" applyNumberFormat="1" fontId="9" applyFont="1" fillId="0" applyFill="1" borderId="17" applyBorder="1" xfId="0" applyProtection="1" applyAlignment="1">
      <alignment vertical="center"/>
    </xf>
    <xf numFmtId="0" applyNumberFormat="1" fontId="1" applyFont="1" fillId="0" applyFill="1" borderId="34" applyBorder="1" xfId="0" applyProtection="1" applyAlignment="1">
      <alignment vertical="center"/>
    </xf>
    <xf numFmtId="0" applyNumberFormat="1" fontId="11" applyFont="1" fillId="0" applyFill="1" borderId="35" applyBorder="1" xfId="0" applyProtection="1" applyAlignment="1">
      <alignment horizontal="right" vertical="center"/>
    </xf>
    <xf numFmtId="0" applyNumberFormat="1" fontId="0" applyFont="1" fillId="0" applyFill="1" borderId="36" applyBorder="1" xfId="0" applyProtection="1"/>
    <xf numFmtId="0" applyNumberFormat="1" fontId="0" applyFont="1" fillId="0" applyFill="1" borderId="37" applyBorder="1" xfId="0" applyProtection="1"/>
    <xf numFmtId="0" applyNumberFormat="1" fontId="1" applyFont="1" fillId="0" applyFill="1" borderId="37" applyBorder="1" xfId="0" applyProtection="1" applyAlignment="1">
      <alignment vertical="center"/>
    </xf>
    <xf numFmtId="0" applyNumberFormat="1" fontId="1" applyFont="1" fillId="0" applyFill="1" borderId="38" applyBorder="1" xfId="0" applyProtection="1" applyAlignment="1">
      <alignment vertical="center"/>
    </xf>
    <xf numFmtId="165" applyNumberFormat="1" fontId="9" applyFont="1" fillId="0" applyFill="1" borderId="37" applyBorder="1" xfId="0" applyProtection="1" applyAlignment="1">
      <alignment horizontal="left" vertical="center"/>
    </xf>
    <xf numFmtId="0" applyNumberFormat="1" fontId="1" applyFont="1" fillId="0" applyFill="1" borderId="36" applyBorder="1" xfId="0" applyProtection="1" applyAlignment="1">
      <alignment vertical="center"/>
    </xf>
    <xf numFmtId="0" applyNumberFormat="1" fontId="9" applyFont="1" fillId="0" applyFill="1" borderId="37" applyBorder="1" xfId="0" applyProtection="1" applyAlignment="1">
      <alignment vertical="center"/>
    </xf>
    <xf numFmtId="0" applyNumberFormat="1" fontId="12" applyFont="1" fillId="0" applyFill="1" borderId="38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170" applyNumberFormat="1" fontId="1" applyFont="1" fillId="0" applyFill="1" borderId="0" applyBorder="1" xfId="0" applyProtection="1" applyAlignment="1">
      <alignment vertical="center"/>
    </xf>
    <xf numFmtId="170" applyNumberFormat="1" fontId="1" applyFont="1" fillId="3" applyFill="1" borderId="15" applyBorder="1" xfId="0" applyProtection="1" applyAlignment="1">
      <alignment vertical="center"/>
    </xf>
    <xf numFmtId="170" applyNumberFormat="1" fontId="1" applyFont="1" fillId="0" applyFill="1" borderId="7" applyBorder="1" xfId="0" applyProtection="1" applyAlignment="1">
      <alignment vertical="center"/>
    </xf>
    <xf numFmtId="168" applyNumberFormat="1" fontId="1" applyFont="1" fillId="0" applyFill="1" borderId="0" applyBorder="1" xfId="0" applyProtection="1" applyAlignment="1">
      <alignment vertical="center"/>
    </xf>
    <xf numFmtId="164" applyNumberFormat="1" fontId="1" applyFont="1" fillId="0" applyFill="1" borderId="0" applyBorder="1" xfId="1" applyProtection="1" applyAlignment="1">
      <alignment vertical="center"/>
    </xf>
    <xf numFmtId="0" applyNumberFormat="1" fontId="26" applyFont="1" fillId="0" applyFill="1" borderId="0" applyBorder="1" xfId="0" applyProtection="1" applyAlignment="1">
      <alignment horizontal="right" vertical="center"/>
    </xf>
    <xf numFmtId="0" applyNumberFormat="1" fontId="9" applyFont="1" fillId="0" applyFill="1" borderId="0" applyBorder="1" xfId="0" applyProtection="1" applyAlignment="1">
      <alignment horizontal="left" vertical="center"/>
    </xf>
    <xf numFmtId="0" applyNumberFormat="1" fontId="9" applyFont="1" fillId="0" applyFill="1" borderId="0" applyBorder="1" xfId="0" quotePrefix="1" applyProtection="1" applyAlignment="1">
      <alignment horizontal="right" vertical="center"/>
    </xf>
    <xf numFmtId="0" applyNumberFormat="1" fontId="1" applyFont="1" fillId="0" applyFill="1" borderId="39" applyBorder="1" xfId="0" applyProtection="1" applyAlignment="1">
      <alignment vertical="center"/>
    </xf>
    <xf numFmtId="0" applyNumberFormat="1" fontId="1" applyFont="1" fillId="0" applyFill="1" borderId="18" applyBorder="1" xfId="0" applyProtection="1" applyAlignment="1">
      <alignment vertical="center"/>
    </xf>
    <xf numFmtId="0" applyNumberFormat="1" fontId="22" applyFont="1" fillId="0" applyFill="1" borderId="0" applyBorder="1" xfId="0" applyProtection="1" applyAlignment="1">
      <alignment vertical="center"/>
    </xf>
    <xf numFmtId="0" applyNumberFormat="1" fontId="1" applyFont="1" fillId="0" applyFill="1" borderId="40" applyBorder="1" xfId="0" applyProtection="1" applyAlignment="1">
      <alignment vertical="center"/>
    </xf>
    <xf numFmtId="0" applyNumberFormat="1" fontId="1" applyFont="1" fillId="0" applyFill="1" borderId="41" applyBorder="1" xfId="0" applyProtection="1" applyAlignment="1">
      <alignment vertical="center"/>
    </xf>
    <xf numFmtId="0" applyNumberFormat="1" fontId="9" applyFont="1" fillId="0" applyFill="1" borderId="41" applyBorder="1" xfId="0" applyProtection="1" applyAlignment="1">
      <alignment vertical="center"/>
    </xf>
    <xf numFmtId="167" applyNumberFormat="1" fontId="1" applyFont="1" fillId="0" applyFill="1" borderId="39" applyBorder="1" xfId="0" applyProtection="1" applyAlignment="1">
      <alignment horizontal="left" vertical="center"/>
    </xf>
    <xf numFmtId="0" applyNumberFormat="1" fontId="1" applyFont="1" fillId="0" applyFill="1" borderId="39" applyBorder="1" xfId="0" applyProtection="1" applyAlignment="1">
      <alignment horizontal="left" vertical="center"/>
    </xf>
    <xf numFmtId="0" applyNumberFormat="1" fontId="1" applyFont="1" fillId="0" applyFill="1" borderId="40" applyBorder="1" xfId="0" applyProtection="1" applyAlignment="1">
      <alignment horizontal="right" vertical="center"/>
    </xf>
    <xf numFmtId="0" applyNumberFormat="1" fontId="9" applyFont="1" fillId="0" applyFill="1" borderId="40" applyBorder="1" xfId="0" applyProtection="1" applyAlignment="1">
      <alignment vertical="center"/>
    </xf>
    <xf numFmtId="0" applyNumberFormat="1" fontId="17" applyFont="1" fillId="0" applyFill="1" borderId="39" applyBorder="1" xfId="0" applyProtection="1" applyAlignment="1">
      <alignment vertical="center"/>
    </xf>
    <xf numFmtId="0" applyNumberFormat="1" fontId="27" applyFont="1" fillId="0" applyFill="1" borderId="39" applyBorder="1" xfId="0" applyProtection="1" applyAlignment="1">
      <alignment vertical="center"/>
    </xf>
    <xf numFmtId="0" applyNumberFormat="1" fontId="1" applyFont="1" fillId="0" applyFill="1" borderId="7" applyBorder="1" xfId="0" applyProtection="1" applyAlignment="1">
      <alignment horizontal="centerContinuous" vertical="center"/>
    </xf>
    <xf numFmtId="0" applyNumberFormat="1" fontId="1" applyFont="1" fillId="0" applyFill="1" borderId="0" applyBorder="1" xfId="0" applyProtection="1" applyAlignment="1">
      <alignment horizontal="centerContinuous" vertical="center"/>
    </xf>
    <xf numFmtId="0" applyNumberFormat="1" fontId="0" applyFont="1" fillId="0" applyFill="1" borderId="40" applyBorder="1" xfId="0" applyProtection="1"/>
    <xf numFmtId="0" applyNumberFormat="1" fontId="17" applyFont="1" fillId="0" applyFill="1" borderId="0" applyBorder="1" xfId="0" applyProtection="1" applyAlignment="1">
      <alignment vertical="center"/>
    </xf>
    <xf numFmtId="0" applyNumberFormat="1" fontId="27" applyFont="1" fillId="0" applyFill="1" borderId="0" applyBorder="1" xfId="0" applyProtection="1" applyAlignment="1">
      <alignment vertical="center"/>
    </xf>
    <xf numFmtId="2" applyNumberFormat="1" fontId="21" applyFont="1" fillId="0" applyFill="1" borderId="29" applyBorder="1" xfId="0" applyProtection="1" applyAlignment="1">
      <alignment vertical="center"/>
    </xf>
    <xf numFmtId="2" applyNumberFormat="1" fontId="1" applyFont="1" fillId="0" applyFill="1" borderId="0" applyBorder="1" xfId="0" applyProtection="1" applyAlignment="1">
      <alignment vertical="center"/>
    </xf>
    <xf numFmtId="2" applyNumberFormat="1" fontId="1" applyFont="1" fillId="0" applyFill="1" borderId="0" applyBorder="1" xfId="0" applyProtection="1" applyAlignment="1">
      <alignment horizontal="center" vertical="center"/>
    </xf>
    <xf numFmtId="0" applyNumberFormat="1" fontId="22" applyFont="1" fillId="0" applyFill="1" borderId="0" applyBorder="1" xfId="0" applyProtection="1" applyAlignment="1">
      <alignment horizontal="center" vertical="center"/>
    </xf>
    <xf numFmtId="0" applyNumberFormat="1" fontId="1" applyFont="1" fillId="3" applyFill="1" borderId="1" applyBorder="1" xfId="0" applyProtection="1" applyAlignment="1">
      <alignment horizontal="center" vertical="center"/>
    </xf>
    <xf numFmtId="0" applyNumberFormat="1" fontId="1" applyFont="1" fillId="3" applyFill="1" borderId="6" applyBorder="1" xfId="0" applyProtection="1" applyAlignment="1">
      <alignment horizontal="center" vertical="center"/>
    </xf>
    <xf numFmtId="0" applyNumberFormat="1" fontId="1" applyFont="1" fillId="3" applyFill="1" borderId="42" applyBorder="1" xfId="0" applyProtection="1" applyAlignment="1">
      <alignment horizontal="center" vertical="center"/>
    </xf>
    <xf numFmtId="169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43" applyBorder="1" xfId="0" applyProtection="1" applyAlignment="1">
      <alignment vertical="center"/>
    </xf>
    <xf numFmtId="0" applyNumberFormat="1" fontId="1" applyFont="1" fillId="0" applyFill="1" borderId="45" applyBorder="1" xfId="0" applyProtection="1" applyAlignment="1">
      <alignment vertical="center"/>
    </xf>
    <xf numFmtId="0" applyNumberFormat="1" fontId="9" applyFont="1" fillId="0" applyFill="1" borderId="16" applyBorder="1" xfId="0" applyProtection="1" applyAlignment="1">
      <alignment vertical="center"/>
    </xf>
    <xf numFmtId="0" applyNumberFormat="1" fontId="25" applyFont="1" fillId="0" applyFill="1" borderId="16" applyBorder="1" xfId="0" applyProtection="1" applyAlignment="1">
      <alignment vertical="center"/>
    </xf>
    <xf numFmtId="0" applyNumberFormat="1" fontId="25" applyFont="1" fillId="0" applyFill="1" borderId="46" applyBorder="1" xfId="0" quotePrefix="1" applyProtection="1" applyAlignment="1">
      <alignment horizontal="right" vertical="center"/>
    </xf>
    <xf numFmtId="0" applyNumberFormat="1" fontId="1" applyFont="1" fillId="0" applyFill="1" borderId="47" applyBorder="1" xfId="0" applyProtection="1" applyAlignment="1">
      <alignment vertical="center"/>
    </xf>
    <xf numFmtId="0" applyNumberFormat="1" fontId="25" applyFont="1" fillId="0" applyFill="1" borderId="35" applyBorder="1" xfId="0" applyProtection="1" applyAlignment="1">
      <alignment horizontal="right" vertical="center"/>
    </xf>
    <xf numFmtId="0" applyNumberFormat="1" fontId="1" applyFont="1" fillId="0" applyFill="1" borderId="48" applyBorder="1" xfId="0" applyProtection="1" applyAlignment="1">
      <alignment vertical="center"/>
    </xf>
    <xf numFmtId="167" applyNumberFormat="1" fontId="1" applyFont="1" fillId="0" applyFill="1" borderId="10" applyBorder="1" xfId="0" applyProtection="1" applyAlignment="1">
      <alignment horizontal="center" vertical="center"/>
    </xf>
    <xf numFmtId="0" applyNumberFormat="1" fontId="25" applyFont="1" fillId="0" applyFill="1" borderId="11" applyBorder="1" xfId="0" quotePrefix="1" applyProtection="1" applyAlignment="1">
      <alignment horizontal="right" vertical="center"/>
    </xf>
    <xf numFmtId="0" applyNumberFormat="1" fontId="12" applyFont="1" fillId="0" applyFill="1" borderId="0" applyBorder="1" xfId="0" quotePrefix="1" applyProtection="1" applyAlignment="1">
      <alignment vertical="center"/>
    </xf>
    <xf numFmtId="0" applyNumberFormat="1" fontId="1" applyFont="1" fillId="3" applyFill="1" borderId="26" applyBorder="1" xfId="0" quotePrefix="1" applyProtection="1" applyAlignment="1">
      <alignment horizontal="center" vertical="center"/>
    </xf>
    <xf numFmtId="0" applyNumberFormat="1" fontId="1" applyFont="1" fillId="3" applyFill="1" borderId="27" applyBorder="1" xfId="0" quotePrefix="1" applyProtection="1" applyAlignment="1">
      <alignment horizontal="center" vertical="center"/>
    </xf>
    <xf numFmtId="0" applyNumberFormat="1" fontId="12" applyFont="1" fillId="0" applyFill="1" borderId="0" applyBorder="1" xfId="0" applyProtection="1" applyAlignment="1">
      <alignment horizontal="right" vertical="center"/>
    </xf>
    <xf numFmtId="0" applyNumberFormat="1" fontId="9" applyFont="1" fillId="4" applyFill="1" borderId="0" applyBorder="1" xfId="0" applyProtection="1" applyAlignment="1">
      <alignment vertical="center"/>
    </xf>
    <xf numFmtId="0" applyNumberFormat="1" fontId="12" applyFont="1" fillId="4" applyFill="1" borderId="0" applyBorder="1" xfId="0" applyProtection="1" applyAlignment="1">
      <alignment vertical="center"/>
    </xf>
    <xf numFmtId="0" applyNumberFormat="1" fontId="1" applyFont="1" fillId="0" applyFill="1" borderId="15" applyBorder="1" xfId="0" applyProtection="1" applyAlignment="1">
      <alignment horizontal="center" vertical="center"/>
    </xf>
    <xf numFmtId="0" applyNumberFormat="1" fontId="30" applyFont="1" fillId="0" applyFill="1" borderId="0" applyBorder="1" xfId="0" applyProtection="1" applyAlignment="1">
      <alignment vertical="center"/>
    </xf>
    <xf numFmtId="0" applyNumberFormat="1" fontId="30" applyFont="1" fillId="0" applyFill="1" borderId="7" applyBorder="1" xfId="0" applyProtection="1" applyAlignment="1">
      <alignment vertical="center"/>
    </xf>
    <xf numFmtId="0" applyNumberFormat="1" fontId="18" applyFont="1" fillId="0" applyFill="1" borderId="16" applyBorder="1" xfId="0" applyProtection="1" applyAlignment="1">
      <alignment vertical="center"/>
    </xf>
    <xf numFmtId="0" applyNumberFormat="1" fontId="18" applyFont="1" fillId="0" applyFill="1" borderId="7" applyBorder="1" xfId="0" applyProtection="1" applyAlignment="1">
      <alignment vertical="center"/>
    </xf>
    <xf numFmtId="0" applyNumberFormat="1" fontId="17" applyFont="1" fillId="3" applyFill="1" borderId="23" applyBorder="1" xfId="0" applyProtection="1" applyAlignment="1">
      <alignment horizontal="center" vertical="center"/>
    </xf>
    <xf numFmtId="0" applyNumberFormat="1" fontId="27" applyFont="1" fillId="0" applyFill="1" borderId="0" applyBorder="1" xfId="0" applyProtection="1" applyAlignment="1">
      <alignment horizontal="left" vertical="center"/>
    </xf>
    <xf numFmtId="0" applyNumberFormat="1" fontId="31" applyFont="1" fillId="0" applyFill="1" borderId="0" applyBorder="1" xfId="0" applyProtection="1" applyAlignment="1">
      <alignment vertical="center"/>
    </xf>
    <xf numFmtId="0" applyNumberFormat="1" fontId="27" applyFont="1" fillId="0" applyFill="1" borderId="7" applyBorder="1" xfId="0" applyProtection="1" applyAlignment="1">
      <alignment vertical="center"/>
    </xf>
    <xf numFmtId="0" applyNumberFormat="1" fontId="27" applyFont="1" fillId="0" applyFill="1" borderId="41" applyBorder="1" xfId="0" applyProtection="1" applyAlignment="1">
      <alignment vertical="center"/>
    </xf>
    <xf numFmtId="0" applyNumberFormat="1" fontId="26" applyFont="1" fillId="0" applyFill="1" borderId="0" applyBorder="1" xfId="0" applyProtection="1" applyAlignment="1">
      <alignment horizontal="right" vertical="center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4" applyFont="1" fillId="5" applyFill="1" borderId="0" applyBorder="1" xfId="0" applyProtection="1" applyAlignment="1">
      <alignment horizontal="left" vertical="center"/>
    </xf>
    <xf numFmtId="0" applyNumberFormat="1" fontId="1" applyFont="1" fillId="5" applyFill="1" borderId="0" applyBorder="1" xfId="0" applyProtection="1" applyAlignment="1">
      <alignment vertical="center"/>
    </xf>
    <xf numFmtId="0" applyNumberFormat="1" fontId="0" applyFont="1" fillId="0" applyFill="1" borderId="18" applyBorder="1" xfId="0" applyProtection="1"/>
    <xf numFmtId="0" applyNumberFormat="1" fontId="1" applyFont="1" fillId="0" applyFill="1" borderId="40" applyBorder="1" xfId="0" applyProtection="1" applyAlignment="1">
      <alignment horizontal="center" vertical="center"/>
    </xf>
    <xf numFmtId="0" applyNumberFormat="1" fontId="25" applyFont="1" fillId="0" applyFill="1" borderId="0" applyBorder="1" xfId="0" applyProtection="1" applyAlignment="1">
      <alignment horizontal="right" vertical="center"/>
    </xf>
    <xf numFmtId="0" applyNumberFormat="1" fontId="32" applyFont="1" fillId="0" applyFill="1" borderId="0" applyBorder="1" xfId="0" applyProtection="1" applyAlignment="1">
      <alignment vertical="center"/>
    </xf>
    <xf numFmtId="0" applyNumberFormat="1" fontId="33" applyFont="1" fillId="0" applyFill="1" borderId="0" applyBorder="1" xfId="0" applyProtection="1"/>
    <xf numFmtId="0" applyNumberFormat="1" fontId="21" applyFont="1" fillId="0" applyFill="1" borderId="33" applyBorder="1" xfId="0" applyProtection="1" applyAlignment="1">
      <alignment vertical="center"/>
    </xf>
    <xf numFmtId="172" applyNumberFormat="1" fontId="21" applyFont="1" fillId="0" applyFill="1" borderId="33" applyBorder="1" xfId="0" applyProtection="1" applyAlignment="1">
      <alignment vertical="center"/>
    </xf>
    <xf numFmtId="0" applyNumberFormat="1" fontId="21" applyFont="1" fillId="0" applyFill="1" borderId="28" applyBorder="1" xfId="0" applyProtection="1" applyAlignment="1">
      <alignment vertical="center"/>
    </xf>
    <xf numFmtId="0" applyNumberFormat="1" fontId="34" applyFont="1" fillId="0" applyFill="1" borderId="29" applyBorder="1" xfId="0" applyProtection="1" applyAlignment="1">
      <alignment vertical="center"/>
    </xf>
    <xf numFmtId="168" applyNumberFormat="1" fontId="21" applyFont="1" fillId="0" applyFill="1" borderId="29" applyBorder="1" xfId="0" applyProtection="1" applyAlignment="1">
      <alignment vertical="center"/>
    </xf>
    <xf numFmtId="2" applyNumberFormat="1" fontId="21" applyFont="1" fillId="0" applyFill="1" borderId="29" applyBorder="1" xfId="0" applyProtection="1" applyAlignment="1">
      <alignment vertical="center"/>
    </xf>
    <xf numFmtId="0" applyNumberFormat="1" fontId="21" applyFont="1" fillId="0" applyFill="1" borderId="29" applyBorder="1" xfId="0" applyProtection="1" applyAlignment="1">
      <alignment vertical="center"/>
    </xf>
    <xf numFmtId="168" applyNumberFormat="1" fontId="21" applyFont="1" fillId="0" applyFill="1" borderId="30" applyBorder="1" xfId="0" applyProtection="1" applyAlignment="1">
      <alignment vertical="center"/>
    </xf>
    <xf numFmtId="0" applyNumberFormat="1" fontId="21" applyFont="1" fillId="0" applyFill="1" borderId="28" applyBorder="1" xfId="0" applyProtection="1" applyAlignment="1">
      <alignment vertical="center"/>
    </xf>
    <xf numFmtId="167" applyNumberFormat="1" fontId="21" applyFont="1" fillId="0" applyFill="1" borderId="29" applyBorder="1" xfId="0" applyProtection="1" applyAlignment="1">
      <alignment vertical="center"/>
    </xf>
    <xf numFmtId="167" applyNumberFormat="1" fontId="21" applyFont="1" fillId="0" applyFill="1" borderId="29" applyBorder="1" xfId="0" applyProtection="1" applyAlignment="1">
      <alignment vertical="center"/>
    </xf>
    <xf numFmtId="169" applyNumberFormat="1" fontId="21" applyFont="1" fillId="0" applyFill="1" borderId="29" applyBorder="1" xfId="0" applyProtection="1" applyAlignment="1">
      <alignment vertical="center"/>
    </xf>
    <xf numFmtId="2" applyNumberFormat="1" fontId="35" applyFont="1" fillId="0" applyFill="1" borderId="30" applyBorder="1" xfId="0" applyProtection="1" applyAlignment="1">
      <alignment vertical="center"/>
    </xf>
    <xf numFmtId="0" applyNumberFormat="1" fontId="21" applyFont="1" fillId="0" applyFill="1" borderId="4" applyBorder="1" xfId="0" applyProtection="1" applyAlignment="1">
      <alignment vertical="center"/>
    </xf>
    <xf numFmtId="0" applyNumberFormat="1" fontId="21" applyFont="1" fillId="0" applyFill="1" borderId="33" applyBorder="1" xfId="0" applyProtection="1" applyAlignment="1">
      <alignment vertical="center"/>
    </xf>
    <xf numFmtId="0" applyNumberFormat="1" fontId="21" applyFont="1" fillId="0" applyFill="1" borderId="33" applyBorder="1" xfId="0" applyProtection="1" applyAlignment="1">
      <alignment vertical="center"/>
    </xf>
    <xf numFmtId="171" applyNumberFormat="1" fontId="21" applyFont="1" fillId="0" applyFill="1" borderId="33" applyBorder="1" xfId="0" applyProtection="1" applyAlignment="1">
      <alignment vertical="center"/>
    </xf>
    <xf numFmtId="167" applyNumberFormat="1" fontId="21" applyFont="1" fillId="0" applyFill="1" borderId="33" applyBorder="1" xfId="0" applyProtection="1" applyAlignment="1">
      <alignment vertical="center"/>
    </xf>
    <xf numFmtId="2" applyNumberFormat="1" fontId="21" applyFont="1" fillId="0" applyFill="1" borderId="33" applyBorder="1" xfId="0" applyProtection="1" applyAlignment="1">
      <alignment vertical="center"/>
    </xf>
    <xf numFmtId="0" applyNumberFormat="1" fontId="21" applyFont="1" fillId="0" applyFill="1" borderId="33" applyBorder="1" xfId="0" applyProtection="1" applyAlignment="1">
      <alignment vertical="center"/>
    </xf>
    <xf numFmtId="2" applyNumberFormat="1" fontId="21" applyFont="1" fillId="0" applyFill="1" borderId="30" applyBorder="1" xfId="0" applyProtection="1" applyAlignment="1">
      <alignment vertical="center"/>
    </xf>
    <xf numFmtId="2" applyNumberFormat="1" fontId="21" applyFont="1" fillId="0" applyFill="1" borderId="29" applyBorder="1" xfId="0" applyProtection="1" applyAlignment="1">
      <alignment horizontal="center" vertical="center"/>
    </xf>
    <xf numFmtId="167" applyNumberFormat="1" fontId="21" applyFont="1" fillId="0" applyFill="1" borderId="33" applyBorder="1" xfId="0" applyProtection="1" applyAlignment="1">
      <alignment vertical="center"/>
    </xf>
    <xf numFmtId="171" applyNumberFormat="1" fontId="21" applyFont="1" fillId="0" applyFill="1" borderId="33" applyBorder="1" xfId="0" applyProtection="1" applyAlignment="1">
      <alignment vertical="center"/>
    </xf>
    <xf numFmtId="2" applyNumberFormat="1" fontId="21" applyFont="1" fillId="0" applyFill="1" borderId="33" applyBorder="1" xfId="0" applyProtection="1" applyAlignment="1">
      <alignment vertical="center"/>
    </xf>
    <xf numFmtId="0" applyNumberFormat="1" fontId="21" applyFont="1" fillId="0" applyFill="1" borderId="29" applyBorder="1" xfId="0" applyProtection="1" applyAlignment="1">
      <alignment vertical="center"/>
    </xf>
    <xf numFmtId="2" applyNumberFormat="1" fontId="35" applyFont="1" fillId="0" applyFill="1" borderId="29" applyBorder="1" xfId="0" applyProtection="1" applyAlignment="1">
      <alignment vertical="center"/>
    </xf>
    <xf numFmtId="2" applyNumberFormat="1" fontId="35" applyFont="1" fillId="0" applyFill="1" borderId="29" applyBorder="1" xfId="0" applyProtection="1" applyAlignment="1">
      <alignment horizontal="center" vertical="center"/>
    </xf>
    <xf numFmtId="1" applyNumberFormat="1" fontId="21" applyFont="1" fillId="0" applyFill="1" borderId="28" applyBorder="1" xfId="0" applyProtection="1" applyAlignment="1">
      <alignment vertical="center"/>
    </xf>
    <xf numFmtId="2" applyNumberFormat="1" fontId="35" applyFont="1" fillId="0" applyFill="1" borderId="30" applyBorder="1" xfId="0" applyProtection="1" applyAlignment="1">
      <alignment vertical="center"/>
    </xf>
    <xf numFmtId="0" applyNumberFormat="1" fontId="1" applyFont="1" fillId="0" applyFill="1" borderId="7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left" vertical="center"/>
    </xf>
    <xf numFmtId="0" applyNumberFormat="1" fontId="26" applyFont="1" fillId="0" applyFill="1" borderId="0" applyBorder="1" xfId="0" applyProtection="1" applyAlignment="1">
      <alignment horizontal="right" vertical="center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16" applyBorder="1" xfId="0" applyProtection="1" applyAlignment="1">
      <alignment horizontal="left" vertical="center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7" applyBorder="1" xfId="0" applyProtection="1" applyAlignment="1">
      <alignment horizontal="center" vertical="center"/>
    </xf>
    <xf numFmtId="0" applyNumberFormat="1" fontId="26" applyFont="1" fillId="0" applyFill="1" borderId="0" applyBorder="1" xfId="0" applyProtection="1" applyAlignment="1">
      <alignment horizontal="right" vertical="center"/>
    </xf>
    <xf numFmtId="0" applyNumberFormat="1" fontId="1" applyFont="1" fillId="0" applyFill="1" borderId="0" applyBorder="1" xfId="3" applyProtection="1" applyAlignment="1">
      <alignment vertical="center"/>
    </xf>
    <xf numFmtId="0" applyNumberFormat="1" fontId="1" applyFont="1" fillId="0" applyFill="1" borderId="0" applyBorder="1" xfId="3" applyProtection="1" applyAlignment="1">
      <alignment horizontal="center" vertical="center"/>
    </xf>
    <xf numFmtId="0" applyNumberFormat="1" fontId="2" applyFont="1" fillId="2" applyFill="1" borderId="0" applyBorder="1" xfId="3" quotePrefix="1" applyProtection="1" applyAlignment="1">
      <alignment vertical="center"/>
    </xf>
    <xf numFmtId="0" applyNumberFormat="1" fontId="3" applyFont="1" fillId="2" applyFill="1" borderId="0" applyBorder="1" xfId="3" applyProtection="1" applyAlignment="1">
      <alignment horizontal="center" vertical="center"/>
    </xf>
    <xf numFmtId="0" applyNumberFormat="1" fontId="4" applyFont="1" fillId="5" applyFill="1" borderId="0" applyBorder="1" xfId="3" applyProtection="1" applyAlignment="1">
      <alignment horizontal="left" vertical="center"/>
    </xf>
    <xf numFmtId="0" applyNumberFormat="1" fontId="1" applyFont="1" fillId="5" applyFill="1" borderId="0" applyBorder="1" xfId="3" applyProtection="1" applyAlignment="1">
      <alignment vertical="center"/>
    </xf>
    <xf numFmtId="0" applyNumberFormat="1" fontId="2" applyFont="1" fillId="0" applyFill="1" borderId="0" applyBorder="1" xfId="3" quotePrefix="1" applyProtection="1" applyAlignment="1">
      <alignment vertical="center"/>
    </xf>
    <xf numFmtId="0" applyNumberFormat="1" fontId="2" applyFont="1" fillId="0" applyFill="1" borderId="0" applyBorder="1" xfId="3" applyProtection="1" applyAlignment="1">
      <alignment vertical="center"/>
    </xf>
    <xf numFmtId="0" applyNumberFormat="1" fontId="5" applyFont="1" fillId="0" applyFill="1" borderId="0" applyBorder="1" xfId="3" applyProtection="1" applyAlignment="1">
      <alignment vertical="center"/>
    </xf>
    <xf numFmtId="0" applyNumberFormat="1" fontId="6" applyFont="1" fillId="0" applyFill="1" borderId="0" applyBorder="1" xfId="3" quotePrefix="1" applyProtection="1" applyAlignment="1">
      <alignment vertical="center"/>
    </xf>
    <xf numFmtId="0" applyNumberFormat="1" fontId="7" applyFont="1" fillId="0" applyFill="1" borderId="0" applyBorder="1" xfId="3" applyProtection="1" applyAlignment="1">
      <alignment horizontal="right" vertical="center"/>
    </xf>
    <xf numFmtId="0" applyNumberFormat="1" fontId="9" applyFont="1" fillId="0" applyFill="1" borderId="0" applyBorder="1" xfId="3" quotePrefix="1" applyProtection="1" applyAlignment="1">
      <alignment horizontal="left" vertical="center"/>
    </xf>
    <xf numFmtId="0" applyNumberFormat="1" fontId="9" applyFont="1" fillId="0" applyFill="1" borderId="1" applyBorder="1" xfId="3" applyProtection="1" applyAlignment="1">
      <alignment vertical="center"/>
    </xf>
    <xf numFmtId="0" applyNumberFormat="1" fontId="1" applyFont="1" fillId="0" applyFill="1" borderId="2" applyBorder="1" xfId="3" applyProtection="1" applyAlignment="1">
      <alignment vertical="center"/>
    </xf>
    <xf numFmtId="0" applyNumberFormat="1" fontId="1" applyFont="1" fillId="0" applyFill="1" borderId="2" applyBorder="1" xfId="3" applyProtection="1" applyAlignment="1">
      <alignment horizontal="center" vertical="center"/>
    </xf>
    <xf numFmtId="0" applyNumberFormat="1" fontId="1" applyFont="1" fillId="0" applyFill="1" borderId="3" applyBorder="1" xfId="3" applyProtection="1" applyAlignment="1">
      <alignment vertical="center"/>
    </xf>
    <xf numFmtId="0" applyNumberFormat="1" fontId="10" applyFont="1" fillId="0" applyFill="1" borderId="4" applyBorder="1" xfId="3" applyProtection="1" applyAlignment="1">
      <alignment vertical="center"/>
    </xf>
    <xf numFmtId="0" applyNumberFormat="1" fontId="1" applyFont="1" fillId="0" applyFill="1" borderId="0" applyBorder="1" xfId="3" quotePrefix="1" applyProtection="1" applyAlignment="1">
      <alignment vertical="center"/>
    </xf>
    <xf numFmtId="0" applyNumberFormat="1" fontId="9" applyFont="1" fillId="0" applyFill="1" borderId="0" applyBorder="1" xfId="3" applyProtection="1" applyAlignment="1">
      <alignment vertical="center"/>
    </xf>
    <xf numFmtId="0" applyNumberFormat="1" fontId="25" applyFont="1" fillId="0" applyFill="1" borderId="0" applyBorder="1" xfId="3" applyProtection="1" applyAlignment="1">
      <alignment horizontal="right" vertical="center"/>
    </xf>
    <xf numFmtId="0" applyNumberFormat="1" fontId="1" applyFont="1" fillId="0" applyFill="1" borderId="5" applyBorder="1" xfId="3" applyProtection="1" applyAlignment="1">
      <alignment vertical="center"/>
    </xf>
    <xf numFmtId="0" applyNumberFormat="1" fontId="24" applyFont="1" fillId="0" applyFill="1" borderId="0" applyBorder="1" xfId="3" applyProtection="1" applyAlignment="1">
      <alignment horizontal="right" vertical="center"/>
    </xf>
    <xf numFmtId="0" applyNumberFormat="1" fontId="10" applyFont="1" fillId="0" applyFill="1" borderId="6" applyBorder="1" xfId="3" applyProtection="1" applyAlignment="1">
      <alignment vertical="center"/>
    </xf>
    <xf numFmtId="0" applyNumberFormat="1" fontId="1" applyFont="1" fillId="0" applyFill="1" borderId="7" applyBorder="1" xfId="3" applyProtection="1" applyAlignment="1">
      <alignment vertical="center"/>
    </xf>
    <xf numFmtId="0" applyNumberFormat="1" fontId="9" applyFont="1" fillId="0" applyFill="1" borderId="7" applyBorder="1" xfId="3" applyProtection="1" applyAlignment="1">
      <alignment vertical="center"/>
    </xf>
    <xf numFmtId="0" applyNumberFormat="1" fontId="1" applyFont="1" fillId="0" applyFill="1" borderId="7" applyBorder="1" xfId="3" applyProtection="1" applyAlignment="1">
      <alignment horizontal="center" vertical="center"/>
    </xf>
    <xf numFmtId="0" applyNumberFormat="1" fontId="1" applyFont="1" fillId="0" applyFill="1" borderId="8" applyBorder="1" xfId="3" applyProtection="1" applyAlignment="1">
      <alignment vertical="center"/>
    </xf>
    <xf numFmtId="0" applyNumberFormat="1" fontId="9" applyFont="1" fillId="0" applyFill="1" borderId="44" applyBorder="1" xfId="3" applyProtection="1" applyAlignment="1">
      <alignment vertical="center"/>
    </xf>
    <xf numFmtId="0" applyNumberFormat="1" fontId="13" applyFont="1" fillId="0" applyFill="1" borderId="0" applyBorder="1" xfId="3" applyProtection="1" applyAlignment="1">
      <alignment vertical="center"/>
    </xf>
    <xf numFmtId="0" applyNumberFormat="1" fontId="1" applyFont="1" fillId="0" applyFill="1" borderId="4" applyBorder="1" xfId="3" applyProtection="1" applyAlignment="1">
      <alignment vertical="center"/>
    </xf>
    <xf numFmtId="0" applyNumberFormat="1" fontId="7" applyFont="1" fillId="0" applyFill="1" borderId="4" applyBorder="1" xfId="3" applyProtection="1" applyAlignment="1">
      <alignment horizontal="right" vertical="center"/>
    </xf>
    <xf numFmtId="0" applyNumberFormat="1" fontId="7" applyFont="1" fillId="0" applyFill="1" borderId="6" applyBorder="1" xfId="3" applyProtection="1" applyAlignment="1">
      <alignment horizontal="right" vertical="center"/>
    </xf>
    <xf numFmtId="0" applyNumberFormat="1" fontId="1" applyFont="1" fillId="0" applyFill="1" borderId="7" applyBorder="1" xfId="3" quotePrefix="1" applyProtection="1" applyAlignment="1">
      <alignment vertical="center"/>
    </xf>
    <xf numFmtId="0" applyNumberFormat="1" fontId="25" applyFont="1" fillId="0" applyFill="1" borderId="7" applyBorder="1" xfId="3" applyProtection="1" applyAlignment="1">
      <alignment horizontal="right" vertical="center"/>
    </xf>
    <xf numFmtId="165" applyNumberFormat="1" fontId="9" applyFont="1" fillId="0" applyFill="1" borderId="4" applyBorder="1" xfId="3" applyProtection="1" applyAlignment="1">
      <alignment horizontal="left" vertical="center"/>
    </xf>
    <xf numFmtId="0" applyNumberFormat="1" fontId="9" applyFont="1" fillId="0" applyFill="1" borderId="4" applyBorder="1" xfId="3" applyProtection="1" applyAlignment="1">
      <alignment vertical="center"/>
    </xf>
    <xf numFmtId="0" applyNumberFormat="1" fontId="1" applyFont="1" fillId="0" applyFill="1" borderId="6" applyBorder="1" xfId="3" applyProtection="1" applyAlignment="1">
      <alignment vertical="center"/>
    </xf>
    <xf numFmtId="0" applyNumberFormat="1" fontId="1" applyFont="1" fillId="0" applyFill="1" borderId="9" applyBorder="1" xfId="3" applyProtection="1" applyAlignment="1">
      <alignment vertical="center"/>
    </xf>
    <xf numFmtId="0" applyNumberFormat="1" fontId="1" applyFont="1" fillId="0" applyFill="1" borderId="10" applyBorder="1" xfId="3" applyProtection="1" applyAlignment="1">
      <alignment vertical="center"/>
    </xf>
    <xf numFmtId="166" applyNumberFormat="1" fontId="1" applyFont="1" fillId="0" applyFill="1" borderId="10" applyBorder="1" xfId="3" applyProtection="1" applyAlignment="1">
      <alignment vertical="center"/>
    </xf>
    <xf numFmtId="0" applyNumberFormat="1" fontId="1" applyFont="1" fillId="0" applyFill="1" borderId="10" applyBorder="1" xfId="3" applyProtection="1" applyAlignment="1">
      <alignment horizontal="center" vertical="center"/>
    </xf>
    <xf numFmtId="0" applyNumberFormat="1" fontId="1" applyFont="1" fillId="0" applyFill="1" borderId="11" applyBorder="1" xfId="3" applyProtection="1" applyAlignment="1">
      <alignment vertical="center"/>
    </xf>
    <xf numFmtId="0" applyNumberFormat="1" fontId="9" applyFont="1" fillId="0" applyFill="1" borderId="0" applyBorder="1" xfId="3" quotePrefix="1" applyProtection="1" applyAlignment="1">
      <alignment vertical="center"/>
    </xf>
    <xf numFmtId="166" applyNumberFormat="1" fontId="1" applyFont="1" fillId="0" applyFill="1" borderId="0" applyBorder="1" xfId="3" applyProtection="1" applyAlignment="1">
      <alignment vertical="center"/>
    </xf>
    <xf numFmtId="0" applyNumberFormat="1" fontId="9" applyFont="1" fillId="0" applyFill="1" borderId="0" applyBorder="1" xfId="3" applyProtection="1" applyAlignment="1">
      <alignment horizontal="left" vertical="center"/>
    </xf>
    <xf numFmtId="164" applyNumberFormat="1" fontId="1" applyFont="1" fillId="0" applyFill="1" borderId="0" applyBorder="1" xfId="2" applyProtection="1" applyAlignment="1">
      <alignment vertical="center"/>
    </xf>
    <xf numFmtId="164" applyNumberFormat="1" fontId="9" applyFont="1" fillId="0" applyFill="1" borderId="0" applyBorder="1" xfId="2" applyProtection="1" applyAlignment="1">
      <alignment vertical="center"/>
    </xf>
    <xf numFmtId="0" applyNumberFormat="1" fontId="26" applyFont="1" fillId="0" applyFill="1" borderId="0" applyBorder="1" xfId="3" applyProtection="1" applyAlignment="1">
      <alignment horizontal="right" vertical="center"/>
    </xf>
    <xf numFmtId="0" applyNumberFormat="1" fontId="36" applyFont="1" fillId="3" applyFill="1" borderId="15" applyBorder="1" xfId="3" applyProtection="1" applyAlignment="1">
      <alignment horizontal="right" vertical="center"/>
    </xf>
    <xf numFmtId="0" applyNumberFormat="1" fontId="9" applyFont="1" fillId="3" applyFill="1" borderId="15" applyBorder="1" xfId="3" applyProtection="1" applyAlignment="1">
      <alignment vertical="center"/>
    </xf>
    <xf numFmtId="0" applyNumberFormat="1" fontId="1" applyFont="1" fillId="3" applyFill="1" borderId="15" applyBorder="1" xfId="3" applyProtection="1" applyAlignment="1">
      <alignment vertical="center"/>
    </xf>
    <xf numFmtId="0" applyNumberFormat="1" fontId="1" applyFont="1" fillId="0" applyFill="1" borderId="16" applyBorder="1" xfId="3" quotePrefix="1" applyProtection="1" applyAlignment="1">
      <alignment vertical="center"/>
    </xf>
    <xf numFmtId="0" applyNumberFormat="1" fontId="1" applyFont="1" fillId="0" applyFill="1" borderId="16" applyBorder="1" xfId="3" applyProtection="1" applyAlignment="1">
      <alignment vertical="center"/>
    </xf>
    <xf numFmtId="0" applyNumberFormat="1" fontId="1" applyFont="1" fillId="0" applyFill="1" borderId="16" applyBorder="1" xfId="3" applyProtection="1" applyAlignment="1">
      <alignment horizontal="center" vertical="center"/>
    </xf>
    <xf numFmtId="0" applyNumberFormat="1" fontId="7" applyFont="1" fillId="0" applyFill="1" borderId="7" applyBorder="1" xfId="3" applyProtection="1" applyAlignment="1">
      <alignment horizontal="right" vertical="center"/>
    </xf>
    <xf numFmtId="0" applyNumberFormat="1" fontId="1" applyFont="1" fillId="3" applyFill="1" borderId="7" applyBorder="1" xfId="3" applyProtection="1" applyAlignment="1">
      <alignment horizontal="center" vertical="center"/>
    </xf>
    <xf numFmtId="0" applyNumberFormat="1" fontId="1" applyFont="1" fillId="0" applyFill="1" borderId="0" applyBorder="1" xfId="3" applyProtection="1" applyAlignment="1">
      <alignment horizontal="left" vertical="center"/>
    </xf>
    <xf numFmtId="0" applyNumberFormat="1" fontId="1" applyFont="1" fillId="0" applyFill="1" borderId="7" applyBorder="1" xfId="3" quotePrefix="1" applyProtection="1" applyAlignment="1">
      <alignment horizontal="centerContinuous" vertical="center"/>
    </xf>
    <xf numFmtId="0" applyNumberFormat="1" fontId="1" applyFont="1" fillId="0" applyFill="1" borderId="7" applyBorder="1" xfId="3" applyProtection="1" applyAlignment="1">
      <alignment horizontal="centerContinuous" vertical="center"/>
    </xf>
    <xf numFmtId="0" applyNumberFormat="1" fontId="1" applyFont="1" fillId="0" applyFill="1" borderId="0" applyBorder="1" xfId="3" applyProtection="1" applyAlignment="1">
      <alignment horizontal="centerContinuous" vertical="center"/>
    </xf>
    <xf numFmtId="0" applyNumberFormat="1" fontId="1" applyFont="1" fillId="3" applyFill="1" borderId="1" applyBorder="1" xfId="0" applyProtection="1" applyAlignment="1">
      <alignment vertical="center"/>
    </xf>
    <xf numFmtId="0" applyNumberFormat="1" fontId="1" applyFont="1" fillId="3" applyFill="1" borderId="31" applyBorder="1" xfId="0" applyProtection="1" applyAlignment="1">
      <alignment vertical="center"/>
    </xf>
    <xf numFmtId="0" applyNumberFormat="1" fontId="1" applyFont="1" fillId="3" applyFill="1" borderId="24" applyBorder="1" xfId="0" applyProtection="1" applyAlignment="1">
      <alignment vertical="center"/>
    </xf>
    <xf numFmtId="0" applyNumberFormat="1" fontId="1" applyFont="1" fillId="3" applyFill="1" borderId="6" applyBorder="1" xfId="0" applyProtection="1" applyAlignment="1">
      <alignment vertical="center"/>
    </xf>
    <xf numFmtId="0" applyNumberFormat="1" fontId="1" applyFont="1" fillId="3" applyFill="1" borderId="32" applyBorder="1" xfId="0" applyProtection="1" applyAlignment="1">
      <alignment vertical="center"/>
    </xf>
    <xf numFmtId="0" applyNumberFormat="1" fontId="1" applyFont="1" fillId="3" applyFill="1" borderId="27" applyBorder="1" xfId="0" applyProtection="1" applyAlignment="1">
      <alignment vertical="center"/>
    </xf>
    <xf numFmtId="0" applyNumberFormat="1" fontId="37" applyFont="1" fillId="0" applyFill="1" borderId="0" applyBorder="1" xfId="0" applyProtection="1"/>
    <xf numFmtId="0" applyNumberFormat="1" fontId="21" applyFont="1" fillId="0" applyFill="1" borderId="33" applyBorder="1" xfId="0" applyProtection="1" applyAlignment="1">
      <alignment horizontal="center" vertical="center"/>
    </xf>
    <xf numFmtId="0" applyNumberFormat="1" fontId="21" applyFont="1" fillId="0" applyFill="1" borderId="30" applyBorder="1" xfId="0" applyProtection="1" applyAlignment="1">
      <alignment vertical="center"/>
    </xf>
    <xf numFmtId="9" applyNumberFormat="1" fontId="21" applyFont="1" fillId="0" applyFill="1" borderId="30" applyBorder="1" xfId="0" applyProtection="1" applyAlignment="1">
      <alignment vertical="center"/>
    </xf>
    <xf numFmtId="0" applyNumberFormat="1" fontId="1" applyFont="1" fillId="3" applyFill="1" borderId="0" applyBorder="1" xfId="3" applyProtection="1" applyAlignment="1">
      <alignment vertical="center"/>
    </xf>
    <xf numFmtId="0" applyNumberFormat="1" fontId="21" applyFont="1" fillId="3" applyFill="1" borderId="24" applyBorder="1" xfId="0" applyProtection="1" applyAlignment="1">
      <alignment vertical="center"/>
    </xf>
    <xf numFmtId="0" applyNumberFormat="1" fontId="1" applyFont="1" fillId="3" applyFill="1" borderId="42" applyBorder="1" xfId="0" applyProtection="1" applyAlignment="1">
      <alignment vertical="center"/>
    </xf>
    <xf numFmtId="167" applyNumberFormat="1" fontId="21" applyFont="1" fillId="0" applyFill="1" borderId="30" applyBorder="1" xfId="0" applyProtection="1" applyAlignment="1">
      <alignment vertical="center"/>
    </xf>
    <xf numFmtId="2" applyNumberFormat="1" fontId="1" applyFont="1" fillId="0" applyFill="1" borderId="0" applyBorder="1" xfId="0" quotePrefix="1" applyProtection="1" applyAlignment="1">
      <alignment vertical="center"/>
    </xf>
    <xf numFmtId="0" applyNumberFormat="1" fontId="38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32" applyBorder="1" xfId="0" applyProtection="1" applyAlignment="1">
      <alignment vertical="center"/>
    </xf>
    <xf numFmtId="0" applyNumberFormat="1" fontId="1" applyFont="1" fillId="0" applyFill="1" borderId="8" applyBorder="1" xfId="0" applyProtection="1" applyAlignment="1">
      <alignment vertical="center"/>
    </xf>
    <xf numFmtId="173" applyNumberFormat="1" fontId="21" applyFont="1" fillId="0" applyFill="1" borderId="33" applyBorder="1" xfId="0" applyProtection="1" applyAlignment="1">
      <alignment vertical="center"/>
    </xf>
    <xf numFmtId="2" applyNumberFormat="1" fontId="21" applyFont="1" fillId="0" applyFill="1" borderId="0" applyBorder="1" xfId="0" applyProtection="1" applyAlignment="1">
      <alignment vertical="center"/>
    </xf>
    <xf numFmtId="1" applyNumberFormat="1" fontId="1" applyFont="1" fillId="0" applyFill="1" borderId="0" applyBorder="1" xfId="0" applyProtection="1" applyAlignment="1">
      <alignment horizontal="center" vertical="center"/>
    </xf>
    <xf numFmtId="167" applyNumberFormat="1" fontId="1" applyFont="1" fillId="0" applyFill="1" borderId="0" applyBorder="1" xfId="0" applyProtection="1" applyAlignment="1">
      <alignment vertical="center"/>
    </xf>
    <xf numFmtId="167" applyNumberFormat="1" fontId="22" applyFont="1" fillId="0" applyFill="1" borderId="0" applyBorder="1" xfId="0" applyProtection="1" applyAlignment="1">
      <alignment vertical="center"/>
    </xf>
    <xf numFmtId="0" applyNumberFormat="1" fontId="1" applyFont="1" fillId="3" applyFill="1" borderId="0" applyBorder="1" xfId="0" applyProtection="1" applyAlignment="1">
      <alignment vertical="center"/>
    </xf>
    <xf numFmtId="168" applyNumberFormat="1" fontId="1" applyFont="1" fillId="0" applyFill="1" borderId="0" applyBorder="1" xfId="0" applyProtection="1" applyAlignment="1">
      <alignment horizontal="centerContinuous" vertical="center"/>
    </xf>
    <xf numFmtId="164" applyNumberFormat="1" fontId="1" applyFont="1" fillId="0" applyFill="1" borderId="0" applyBorder="1" xfId="1" applyProtection="1" applyAlignment="1">
      <alignment horizontal="centerContinuous" vertical="center"/>
    </xf>
    <xf numFmtId="164" applyNumberFormat="1" fontId="1" applyFont="1" fillId="0" applyFill="1" borderId="7" applyBorder="1" xfId="1" applyProtection="1" applyAlignment="1">
      <alignment horizontal="centerContinuous" vertical="center"/>
    </xf>
    <xf numFmtId="168" applyNumberFormat="1" fontId="1" applyFont="1" fillId="0" applyFill="1" borderId="0" applyBorder="1" xfId="0" applyProtection="1" applyAlignment="1">
      <alignment horizontal="center" vertical="center"/>
    </xf>
    <xf numFmtId="164" applyNumberFormat="1" fontId="1" applyFont="1" fillId="0" applyFill="1" borderId="7" applyBorder="1" xfId="1" quotePrefix="1" applyProtection="1" applyAlignment="1">
      <alignment horizontal="centerContinuous" vertical="center"/>
    </xf>
    <xf numFmtId="0" applyNumberFormat="1" fontId="1" applyFont="1" fillId="3" applyFill="1" borderId="26" applyBorder="1" xfId="0" applyProtection="1" applyAlignment="1">
      <alignment vertical="center"/>
    </xf>
    <xf numFmtId="0" applyNumberFormat="1" fontId="5" applyFont="1" fillId="3" applyFill="1" borderId="0" applyBorder="1" xfId="3" applyProtection="1" applyAlignment="1">
      <alignment vertical="center"/>
    </xf>
    <xf numFmtId="0" applyNumberFormat="1" fontId="5" applyFont="1" fillId="3" applyFill="1" borderId="0" applyBorder="1" xfId="3" applyProtection="1" applyAlignment="1">
      <alignment horizontal="right" vertical="center"/>
    </xf>
    <xf numFmtId="0" applyNumberFormat="1" fontId="0" applyFont="1" fillId="3" applyFill="1" borderId="0" applyBorder="1" xfId="0" applyProtection="1"/>
    <xf numFmtId="0" applyNumberFormat="1" fontId="24" applyFont="1" fillId="3" applyFill="1" borderId="0" applyBorder="1" xfId="3" applyProtection="1" applyAlignment="1">
      <alignment horizontal="right" vertical="center"/>
    </xf>
    <xf numFmtId="170" applyNumberFormat="1" fontId="1" applyFont="1" fillId="3" applyFill="1" borderId="0" applyBorder="1" xfId="0" applyProtection="1" applyAlignment="1">
      <alignment vertical="center"/>
    </xf>
    <xf numFmtId="0" applyNumberFormat="1" fontId="1" applyFont="1" fillId="3" applyFill="1" borderId="0" applyBorder="1" xfId="0" applyProtection="1" applyAlignment="1">
      <alignment horizontal="center" vertical="center"/>
    </xf>
    <xf numFmtId="2" applyNumberFormat="1" fontId="1" applyFont="1" fillId="0" applyFill="1" borderId="79" applyBorder="1" xfId="0" applyProtection="1" applyAlignment="1">
      <alignment horizontal="center" vertical="center"/>
    </xf>
    <xf numFmtId="2" applyNumberFormat="1" fontId="1" applyFont="1" fillId="0" applyFill="1" borderId="10" applyBorder="1" xfId="0" applyProtection="1" applyAlignment="1">
      <alignment horizontal="left" vertical="center"/>
    </xf>
    <xf numFmtId="167" applyNumberFormat="1" fontId="1" applyFont="1" fillId="0" applyFill="1" borderId="48" applyBorder="1" xfId="0" applyProtection="1" applyAlignment="1">
      <alignment horizontal="center" vertical="center"/>
    </xf>
    <xf numFmtId="167" applyNumberFormat="1" fontId="1" applyFont="1" fillId="0" applyFill="1" borderId="0" applyBorder="1" xfId="0" applyProtection="1" applyAlignment="1">
      <alignment horizontal="center" vertical="center"/>
    </xf>
    <xf numFmtId="2" applyNumberFormat="1" fontId="1" applyFont="1" fillId="0" applyFill="1" borderId="0" applyBorder="1" xfId="0" applyProtection="1" applyAlignment="1">
      <alignment horizontal="left" vertical="center"/>
    </xf>
    <xf numFmtId="2" applyNumberFormat="1" fontId="8" applyFont="1" fillId="0" applyFill="1" borderId="0" applyBorder="1" xfId="0" applyProtection="1" applyAlignment="1">
      <alignment vertical="center"/>
    </xf>
    <xf numFmtId="165" applyNumberFormat="1" fontId="1" applyFont="1" fillId="0" applyFill="1" borderId="0" applyBorder="1" xfId="0" applyProtection="1" applyAlignment="1">
      <alignment horizontal="left" vertical="center"/>
    </xf>
    <xf numFmtId="166" applyNumberFormat="1" fontId="1" applyFont="1" fillId="3" applyFill="1" borderId="15" applyBorder="1" xfId="0" applyProtection="1" applyAlignment="1">
      <alignment vertical="center"/>
    </xf>
    <xf numFmtId="0" applyNumberFormat="1" fontId="25" applyFont="1" fillId="0" applyFill="1" borderId="0" applyBorder="1" xfId="0" applyProtection="1" applyAlignment="1">
      <alignment horizontal="left" vertical="center"/>
    </xf>
    <xf numFmtId="166" applyNumberFormat="1" fontId="1" applyFont="1" fillId="0" applyFill="1" borderId="7" applyBorder="1" xfId="0" applyProtection="1" applyAlignment="1">
      <alignment vertical="center"/>
    </xf>
    <xf numFmtId="0" applyNumberFormat="1" fontId="0" applyFont="1" fillId="3" applyFill="1" borderId="15" applyBorder="1" xfId="0" applyProtection="1" applyAlignment="1">
      <alignment vertical="center"/>
    </xf>
    <xf numFmtId="0" applyNumberFormat="1" fontId="0" applyFont="1" fillId="0" applyFill="1" borderId="7" applyBorder="1" xfId="0" applyProtection="1" applyAlignment="1">
      <alignment vertical="center"/>
    </xf>
    <xf numFmtId="167" applyNumberFormat="1" fontId="1" applyFont="1" fillId="0" applyFill="1" borderId="0" applyBorder="1" xfId="0" applyProtection="1" applyAlignment="1">
      <alignment vertical="center"/>
    </xf>
    <xf numFmtId="167" applyNumberFormat="1" fontId="1" applyFont="1" fillId="0" applyFill="1" borderId="17" applyBorder="1" xfId="0" applyProtection="1" applyAlignment="1">
      <alignment vertical="center"/>
    </xf>
    <xf numFmtId="167" applyNumberFormat="1" fontId="1" applyFont="1" fillId="0" applyFill="1" borderId="41" applyBorder="1" xfId="0" applyProtection="1" applyAlignment="1">
      <alignment horizontal="left" vertical="center"/>
    </xf>
    <xf numFmtId="166" applyNumberFormat="1" fontId="1" applyFont="1" fillId="0" applyFill="1" borderId="41" applyBorder="1" xfId="0" applyProtection="1" applyAlignment="1">
      <alignment vertical="center"/>
    </xf>
    <xf numFmtId="164" applyNumberFormat="1" fontId="18" applyFont="1" fillId="0" applyFill="1" borderId="0" applyBorder="1" xfId="1" applyProtection="1" applyAlignment="1">
      <alignment vertical="center"/>
    </xf>
    <xf numFmtId="0" applyNumberFormat="1" fontId="18" applyFont="1" fillId="0" applyFill="1" borderId="40" applyBorder="1" xfId="0" applyProtection="1" applyAlignment="1">
      <alignment vertical="center"/>
    </xf>
    <xf numFmtId="166" applyNumberFormat="1" fontId="9" applyFont="1" fillId="3" applyFill="1" borderId="15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horizontal="center" vertical="center"/>
    </xf>
    <xf numFmtId="168" applyNumberFormat="1" fontId="1" applyFont="1" fillId="3" applyFill="1" borderId="0" applyBorder="1" xfId="0" applyProtection="1" applyAlignment="1">
      <alignment horizontal="center" vertical="center"/>
    </xf>
    <xf numFmtId="0" applyNumberFormat="1" fontId="1" applyFont="1" fillId="0" applyFill="1" borderId="40" applyBorder="1" xfId="0" applyProtection="1" applyAlignment="1">
      <alignment horizontal="left" vertical="center"/>
    </xf>
    <xf numFmtId="0" applyNumberFormat="1" fontId="18" applyFont="1" fillId="0" applyFill="1" borderId="18" applyBorder="1" xfId="0" applyProtection="1" applyAlignment="1">
      <alignment vertical="center"/>
    </xf>
    <xf numFmtId="0" applyNumberFormat="1" fontId="25" applyFont="1" fillId="3" applyFill="1" borderId="0" applyBorder="1" xfId="0" applyProtection="1" applyAlignment="1">
      <alignment horizontal="right" vertical="center"/>
    </xf>
    <xf numFmtId="0" applyNumberFormat="1" fontId="12" applyFont="1" fillId="0" applyFill="1" borderId="0" applyBorder="1" xfId="0" applyProtection="1" applyAlignment="1">
      <alignment horizontal="left" vertical="center"/>
    </xf>
    <xf numFmtId="0" applyNumberFormat="1" fontId="1" applyFont="1" fillId="3" applyFill="1" borderId="23" applyBorder="1" xfId="0" applyProtection="1" applyAlignment="1">
      <alignment vertical="center"/>
    </xf>
    <xf numFmtId="0" applyNumberFormat="1" fontId="1" applyFont="1" fillId="3" applyFill="1" borderId="19" applyBorder="1" xfId="0" applyProtection="1" applyAlignment="1">
      <alignment vertical="center"/>
    </xf>
    <xf numFmtId="0" applyNumberFormat="1" fontId="18" applyFont="1" fillId="3" applyFill="1" borderId="23" applyBorder="1" xfId="0" applyProtection="1" applyAlignment="1">
      <alignment vertical="center"/>
    </xf>
    <xf numFmtId="0" applyNumberFormat="1" fontId="1" applyFont="1" fillId="3" applyFill="1" borderId="25" applyBorder="1" xfId="0" applyProtection="1" applyAlignment="1">
      <alignment vertical="center"/>
    </xf>
    <xf numFmtId="0" applyNumberFormat="1" fontId="1" applyFont="1" fillId="3" applyFill="1" borderId="80" applyBorder="1" xfId="0" applyProtection="1" applyAlignment="1">
      <alignment horizontal="center" vertical="center"/>
    </xf>
    <xf numFmtId="0" applyNumberFormat="1" fontId="1" applyFont="1" fillId="3" applyFill="1" borderId="81" applyBorder="1" xfId="0" applyProtection="1" applyAlignment="1">
      <alignment horizontal="center" vertical="center"/>
    </xf>
    <xf numFmtId="0" applyNumberFormat="1" fontId="1" applyFont="1" fillId="3" applyFill="1" borderId="31" applyBorder="1" xfId="0" applyProtection="1" applyAlignment="1">
      <alignment horizontal="center" vertical="center"/>
    </xf>
    <xf numFmtId="0" applyNumberFormat="1" fontId="1" applyFont="1" fillId="3" applyFill="1" borderId="8" applyBorder="1" xfId="0" applyProtection="1" applyAlignment="1">
      <alignment vertical="center"/>
    </xf>
    <xf numFmtId="0" applyNumberFormat="1" fontId="1" applyFont="1" fillId="3" applyFill="1" borderId="32" applyBorder="1" xfId="0" applyProtection="1" applyAlignment="1">
      <alignment horizontal="center" vertical="center"/>
    </xf>
    <xf numFmtId="1" applyNumberFormat="1" fontId="21" applyFont="1" fillId="0" applyFill="1" borderId="33" applyBorder="1" xfId="0" applyProtection="1" applyAlignment="1">
      <alignment vertical="center"/>
    </xf>
    <xf numFmtId="164" applyNumberFormat="1" fontId="1" applyFont="1" fillId="0" applyFill="1" borderId="0" applyBorder="1" xfId="1" applyProtection="1" applyAlignment="1">
      <alignment vertical="center"/>
    </xf>
    <xf numFmtId="164" applyNumberFormat="1" fontId="9" applyFont="1" fillId="3" applyFill="1" borderId="15" applyBorder="1" xfId="1" applyProtection="1" applyAlignment="1">
      <alignment vertical="center"/>
    </xf>
    <xf numFmtId="164" applyNumberFormat="1" fontId="1" applyFont="1" fillId="0" applyFill="1" borderId="39" applyBorder="1" xfId="1" applyProtection="1" applyAlignment="1">
      <alignment vertical="center"/>
    </xf>
    <xf numFmtId="164" applyNumberFormat="1" fontId="1" applyFont="1" fillId="0" applyFill="1" borderId="17" applyBorder="1" xfId="1" applyProtection="1" applyAlignment="1">
      <alignment vertical="center"/>
    </xf>
    <xf numFmtId="164" applyNumberFormat="1" fontId="1" applyFont="1" fillId="3" applyFill="1" borderId="15" applyBorder="1" xfId="1" applyProtection="1" applyAlignment="1">
      <alignment vertical="center"/>
    </xf>
    <xf numFmtId="164" applyNumberFormat="1" fontId="1" applyFont="1" fillId="0" applyFill="1" borderId="7" applyBorder="1" xfId="1" applyProtection="1" applyAlignment="1">
      <alignment vertical="center"/>
    </xf>
    <xf numFmtId="167" applyNumberFormat="1" fontId="1" applyFont="1" fillId="3" applyFill="1" borderId="0" applyBorder="1" xfId="0" applyProtection="1" applyAlignment="1">
      <alignment horizontal="center" vertical="center"/>
    </xf>
    <xf numFmtId="169" applyNumberFormat="1" fontId="1" applyFont="1" fillId="3" applyFill="1" borderId="0" applyBorder="1" xfId="0" applyProtection="1" applyAlignment="1">
      <alignment horizontal="center" vertical="center"/>
    </xf>
    <xf numFmtId="0" applyNumberFormat="1" fontId="1" applyFont="1" fillId="0" applyFill="1" borderId="0" applyBorder="1" xfId="1" applyProtection="1" applyAlignment="1">
      <alignment vertical="center"/>
    </xf>
    <xf numFmtId="0" applyNumberFormat="1" fontId="1" applyFont="1" fillId="0" applyFill="1" borderId="7" applyBorder="1" xfId="1" applyProtection="1" applyAlignment="1">
      <alignment vertical="center"/>
    </xf>
    <xf numFmtId="0" applyNumberFormat="1" fontId="1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0" applyNumberFormat="1" fontId="1" applyFont="1" fillId="0" applyFill="1" borderId="7" applyBorder="1" xfId="0" applyProtection="1" applyAlignment="1">
      <alignment vertical="center"/>
    </xf>
    <xf numFmtId="0" applyNumberFormat="1" fontId="1" applyFont="1" fillId="3" applyFill="1" borderId="80" applyBorder="1" xfId="0" applyProtection="1" applyAlignment="1">
      <alignment vertical="center"/>
    </xf>
    <xf numFmtId="0" applyNumberFormat="1" fontId="27" applyFont="1" fillId="3" applyFill="1" borderId="26" applyBorder="1" xfId="0" applyProtection="1" applyAlignment="1">
      <alignment vertical="center"/>
    </xf>
    <xf numFmtId="0" applyNumberFormat="1" fontId="7" applyFont="1" fillId="0" applyFill="1" borderId="0" applyBorder="1" xfId="3" applyProtection="1" applyAlignment="1">
      <alignment horizontal="right" vertical="center"/>
    </xf>
    <xf numFmtId="0" applyNumberFormat="1" fontId="1" applyFont="1" fillId="0" applyFill="1" borderId="0" applyBorder="1" xfId="3" applyProtection="1" applyAlignment="1">
      <alignment vertical="center"/>
    </xf>
    <xf numFmtId="0" applyNumberFormat="1" fontId="1" applyFont="1" fillId="0" applyFill="1" borderId="0" applyBorder="1" xfId="3" applyProtection="1" applyAlignment="1">
      <alignment horizontal="right" vertical="center"/>
    </xf>
    <xf numFmtId="0" applyNumberFormat="1" fontId="8" applyFont="1" fillId="0" applyFill="1" borderId="0" applyBorder="1" xfId="3" applyProtection="1" applyAlignment="1">
      <alignment vertical="center"/>
    </xf>
    <xf numFmtId="0" applyNumberFormat="1" fontId="1" applyFont="1" fillId="0" applyFill="1" borderId="0" applyBorder="1" xfId="3" applyProtection="1" applyAlignment="1">
      <alignment horizontal="center" vertical="center"/>
    </xf>
    <xf numFmtId="0" applyNumberFormat="1" fontId="5" applyFont="1" fillId="0" applyFill="1" borderId="0" applyBorder="1" xfId="3" applyProtection="1" applyAlignment="1">
      <alignment vertical="center"/>
    </xf>
    <xf numFmtId="0" applyNumberFormat="1" fontId="23" applyFont="1" fillId="0" applyFill="1" borderId="0" applyBorder="1" xfId="3" applyProtection="1"/>
    <xf numFmtId="0" applyNumberFormat="1" fontId="0" applyFont="1" fillId="0" applyFill="1" borderId="0" applyBorder="1" xfId="0" applyProtection="1"/>
    <xf numFmtId="167" applyNumberFormat="1" fontId="1" applyFont="1" fillId="0" applyFill="1" borderId="0" applyBorder="1" xfId="0" applyProtection="1" applyAlignment="1">
      <alignment horizontal="center" vertical="center"/>
    </xf>
    <xf numFmtId="170" applyNumberFormat="1" fontId="1" applyFont="1" fillId="0" applyFill="1" borderId="0" applyBorder="1" xfId="0" applyProtection="1" applyAlignment="1">
      <alignment vertical="center"/>
    </xf>
    <xf numFmtId="168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0" applyBorder="1" xfId="0" quotePrefix="1" applyProtection="1" applyAlignment="1">
      <alignment horizontal="left" vertical="center"/>
    </xf>
    <xf numFmtId="0" applyNumberFormat="1" fontId="26" applyFont="1" fillId="0" applyFill="1" borderId="0" applyBorder="1" xfId="0" applyProtection="1" applyAlignment="1">
      <alignment horizontal="right" vertical="center"/>
    </xf>
    <xf numFmtId="0" applyNumberFormat="1" fontId="1" applyFont="1" fillId="3" applyFill="1" borderId="31" applyBorder="1" xfId="0" applyProtection="1" applyAlignment="1">
      <alignment horizontal="center" vertical="center"/>
    </xf>
    <xf numFmtId="0" applyNumberFormat="1" fontId="1" applyFont="1" fillId="3" applyFill="1" borderId="32" applyBorder="1" xfId="0" applyProtection="1" applyAlignment="1">
      <alignment horizontal="center" vertical="center"/>
    </xf>
    <xf numFmtId="0" applyNumberFormat="1" fontId="21" applyFont="1" fillId="0" applyFill="1" borderId="30" applyBorder="1" xfId="0" applyProtection="1" applyAlignment="1">
      <alignment vertical="center"/>
    </xf>
    <xf numFmtId="173" applyNumberFormat="1" fontId="21" applyFont="1" fillId="0" applyFill="1" borderId="5" applyBorder="1" xfId="0" applyProtection="1" applyAlignment="1">
      <alignment vertical="center"/>
    </xf>
    <xf numFmtId="0" applyNumberFormat="1" fontId="21" applyFont="1" fillId="0" applyFill="1" borderId="76" applyBorder="1" xfId="0" applyProtection="1" applyAlignment="1">
      <alignment vertical="center"/>
    </xf>
    <xf numFmtId="0" applyNumberFormat="1" fontId="39" applyFont="1" fillId="0" applyFill="1" borderId="0" applyBorder="1" xfId="3" applyProtection="1" applyAlignment="1">
      <alignment vertical="center"/>
    </xf>
    <xf numFmtId="0" applyNumberFormat="1" fontId="17" applyFont="1" fillId="3" applyFill="1" borderId="23" applyBorder="1" xfId="0" applyProtection="1" applyAlignment="1">
      <alignment horizontal="center" vertical="center"/>
    </xf>
    <xf numFmtId="0" applyNumberFormat="1" fontId="5" applyFont="1" fillId="3" applyFill="1" borderId="0" applyBorder="1" xfId="0" applyProtection="1" applyAlignment="1">
      <alignment vertical="center"/>
    </xf>
    <xf numFmtId="0" applyNumberFormat="1" fontId="5" applyFont="1" fillId="3" applyFill="1" borderId="0" applyBorder="1" xfId="0" applyProtection="1" applyAlignment="1">
      <alignment horizontal="right" vertical="center"/>
    </xf>
    <xf numFmtId="167" applyNumberFormat="1" fontId="5" applyFont="1" fillId="3" applyFill="1" borderId="0" applyBorder="1" xfId="0" applyProtection="1" applyAlignment="1">
      <alignment horizontal="left" vertical="center"/>
    </xf>
    <xf numFmtId="0" applyNumberFormat="1" fontId="20" applyFont="1" fillId="3" applyFill="1" borderId="0" applyBorder="1" xfId="0" applyProtection="1" applyAlignment="1">
      <alignment vertical="center"/>
    </xf>
    <xf numFmtId="0" applyNumberFormat="1" fontId="24" applyFont="1" fillId="3" applyFill="1" borderId="0" applyBorder="1" xfId="0" applyProtection="1" applyAlignment="1">
      <alignment horizontal="right" vertical="center"/>
    </xf>
    <xf numFmtId="2" applyNumberFormat="1" fontId="1" applyFont="1" fillId="3" applyFill="1" borderId="0" applyBorder="1" xfId="0" applyProtection="1" applyAlignment="1">
      <alignment horizontal="center" vertical="center"/>
    </xf>
    <xf numFmtId="0" applyNumberFormat="1" fontId="12" applyFont="1" fillId="3" applyFill="1" borderId="0" applyBorder="1" xfId="0" applyProtection="1" applyAlignment="1">
      <alignment horizontal="right" vertical="center"/>
    </xf>
    <xf numFmtId="1" applyNumberFormat="1" fontId="1" applyFont="1" fillId="3" applyFill="1" borderId="0" applyBorder="1" xfId="0" applyProtection="1" applyAlignment="1">
      <alignment horizontal="center" vertical="center"/>
    </xf>
    <xf numFmtId="2" applyNumberFormat="1" fontId="35" applyFont="1" fillId="0" applyFill="1" borderId="30" applyBorder="1" xfId="0" applyProtection="1" applyAlignment="1">
      <alignment horizontal="center" vertical="center"/>
    </xf>
    <xf numFmtId="0" applyNumberFormat="1" fontId="21" applyFont="1" fillId="3" applyFill="1" borderId="81" applyBorder="1" xfId="0" applyProtection="1" applyAlignment="1">
      <alignment vertical="center"/>
    </xf>
    <xf numFmtId="0" applyNumberFormat="1" fontId="35" applyFont="1" fillId="0" applyFill="1" borderId="29" applyBorder="1" xfId="0" applyProtection="1" applyAlignment="1">
      <alignment horizontal="center" vertical="center"/>
    </xf>
    <xf numFmtId="0" applyNumberFormat="1" fontId="12" applyFont="1" fillId="0" applyFill="1" borderId="7" applyBorder="1" xfId="0" applyProtection="1" applyAlignment="1">
      <alignment vertical="center"/>
    </xf>
    <xf numFmtId="0" applyNumberFormat="1" fontId="12" applyFont="1" fillId="0" applyFill="1" borderId="0" applyBorder="1" xfId="0" applyProtection="1" applyAlignment="1">
      <alignment vertical="center"/>
    </xf>
    <xf numFmtId="2" applyNumberFormat="1" fontId="1" applyFont="1" fillId="0" applyFill="1" borderId="0" applyBorder="1" xfId="0" applyProtection="1" applyAlignment="1">
      <alignment vertical="center"/>
    </xf>
    <xf numFmtId="0" applyNumberFormat="1" fontId="22" applyFont="1" fillId="0" applyFill="1" borderId="0" applyBorder="1" xfId="0" applyProtection="1" applyAlignment="1">
      <alignment vertical="center"/>
    </xf>
    <xf numFmtId="0" applyNumberFormat="1" fontId="1" applyFont="1" fillId="3" applyFill="1" borderId="32" applyBorder="1" xfId="0" quotePrefix="1" applyProtection="1" applyAlignment="1">
      <alignment vertical="center"/>
    </xf>
    <xf numFmtId="0" applyNumberFormat="1" fontId="21" applyFont="1" fillId="0" applyFill="1" borderId="0" applyBorder="1" xfId="0" applyProtection="1" applyAlignment="1">
      <alignment vertical="center"/>
    </xf>
    <xf numFmtId="0" applyNumberFormat="1" fontId="21" applyFont="1" fillId="0" applyFill="1" borderId="0" applyBorder="1" xfId="0" applyProtection="1" applyAlignment="1">
      <alignment vertical="center"/>
    </xf>
    <xf numFmtId="0" applyNumberFormat="1" fontId="35" applyFont="1" fillId="0" applyFill="1" borderId="0" applyBorder="1" xfId="0" applyProtection="1" applyAlignment="1">
      <alignment vertical="center"/>
    </xf>
    <xf numFmtId="166" applyNumberFormat="1" fontId="1" applyFont="1" fillId="0" applyFill="1" borderId="0" applyBorder="1" xfId="0" applyProtection="1" applyAlignment="1">
      <alignment vertical="center"/>
    </xf>
    <xf numFmtId="0" applyNumberFormat="1" fontId="1" applyFont="1" fillId="0" applyFill="1" borderId="7" applyBorder="1" xfId="0" quotePrefix="1" applyProtection="1" applyAlignment="1">
      <alignment vertical="center"/>
    </xf>
    <xf numFmtId="0" applyNumberFormat="1" fontId="1" applyFont="1" fillId="3" applyFill="1" borderId="53" applyBorder="1" xfId="0" applyProtection="1" applyAlignment="1">
      <alignment horizontal="center" vertical="center"/>
    </xf>
    <xf numFmtId="0" applyNumberFormat="1" fontId="1" applyFont="1" fillId="3" applyFill="1" borderId="56" applyBorder="1" xfId="0" applyProtection="1" applyAlignment="1">
      <alignment horizontal="center" vertical="center"/>
    </xf>
    <xf numFmtId="0" applyNumberFormat="1" fontId="10" applyFont="1" fillId="0" applyFill="1" borderId="0" applyBorder="1" xfId="0" applyProtection="1" applyAlignment="1">
      <alignment vertical="center"/>
    </xf>
    <xf numFmtId="0" applyNumberFormat="1" fontId="11" applyFont="1" fillId="0" applyFill="1" borderId="0" applyBorder="1" xfId="0" applyProtection="1" applyAlignment="1">
      <alignment horizontal="right" vertical="center"/>
    </xf>
    <xf numFmtId="0" applyNumberFormat="1" fontId="36" applyFont="1" fillId="0" applyFill="1" borderId="0" applyBorder="1" xfId="0" applyProtection="1" applyAlignment="1">
      <alignment vertical="center"/>
    </xf>
    <xf numFmtId="0" applyNumberFormat="1" fontId="17" applyFont="1" fillId="0" applyFill="1" borderId="0" applyBorder="1" xfId="0" applyProtection="1" applyAlignment="1">
      <alignment horizontal="left" vertical="center"/>
    </xf>
    <xf numFmtId="3" applyNumberFormat="1" fontId="8" applyFont="1" fillId="0" applyFill="1" borderId="0" applyBorder="1" xfId="0" applyProtection="1" applyAlignment="1">
      <alignment horizontal="left" vertical="center"/>
    </xf>
    <xf numFmtId="3" applyNumberFormat="1" fontId="1" applyFont="1" fillId="0" applyFill="1" borderId="0" applyBorder="1" xfId="0" applyProtection="1" applyAlignment="1">
      <alignment horizontal="left" vertical="center"/>
    </xf>
    <xf numFmtId="0" applyNumberFormat="1" fontId="8" applyFont="1" fillId="0" applyFill="1" borderId="0" applyBorder="1" xfId="0" applyProtection="1" applyAlignment="1">
      <alignment horizontal="left" vertical="center"/>
    </xf>
    <xf numFmtId="3" applyNumberFormat="1" fontId="8" applyFont="1" fillId="0" applyFill="1" borderId="0" applyBorder="1" xfId="0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52" applyBorder="1" xfId="0" quotePrefix="1" applyProtection="1" applyAlignment="1">
      <alignment horizontal="center" vertical="center"/>
    </xf>
    <xf numFmtId="166" applyNumberFormat="1" fontId="1" applyFont="1" fillId="0" applyFill="1" borderId="52" applyBorder="1" xfId="0" applyProtection="1" applyAlignment="1">
      <alignment horizontal="center" vertical="center"/>
    </xf>
    <xf numFmtId="166" applyNumberFormat="1" fontId="1" applyFont="1" fillId="0" applyFill="1" borderId="2" applyBorder="1" xfId="0" applyProtection="1" applyAlignment="1">
      <alignment horizontal="center" vertical="center"/>
    </xf>
    <xf numFmtId="0" applyNumberFormat="1" fontId="1" applyFont="1" fillId="0" applyFill="1" borderId="84" applyBorder="1" xfId="0" quotePrefix="1" applyProtection="1" applyAlignment="1">
      <alignment horizontal="center" vertical="center"/>
    </xf>
    <xf numFmtId="0" applyNumberFormat="1" fontId="1" applyFont="1" fillId="0" applyFill="1" borderId="55" applyBorder="1" xfId="0" quotePrefix="1" applyProtection="1" applyAlignment="1">
      <alignment horizontal="center" vertical="center"/>
    </xf>
    <xf numFmtId="166" applyNumberFormat="1" fontId="1" applyFont="1" fillId="0" applyFill="1" borderId="55" applyBorder="1" xfId="0" applyProtection="1" applyAlignment="1">
      <alignment horizontal="center" vertical="center"/>
    </xf>
    <xf numFmtId="166" applyNumberFormat="1" fontId="1" applyFont="1" fillId="0" applyFill="1" borderId="7" applyBorder="1" xfId="0" applyProtection="1" applyAlignment="1">
      <alignment horizontal="center" vertical="center"/>
    </xf>
    <xf numFmtId="0" applyNumberFormat="1" fontId="1" applyFont="1" fillId="0" applyFill="1" borderId="86" applyBorder="1" xfId="0" quotePrefix="1" applyProtection="1" applyAlignment="1">
      <alignment horizontal="center" vertical="center"/>
    </xf>
    <xf numFmtId="0" applyNumberFormat="1" fontId="1" applyFont="1" fillId="0" applyFill="1" borderId="18" applyBorder="1" xfId="0" quotePrefix="1" applyProtection="1" applyAlignment="1">
      <alignment vertical="center" wrapText="1"/>
    </xf>
    <xf numFmtId="0" applyNumberFormat="1" fontId="8" applyFont="1" fillId="0" applyFill="1" borderId="17" applyBorder="1" xfId="0" quotePrefix="1" applyProtection="1" applyAlignment="1">
      <alignment horizontal="left" vertical="center"/>
    </xf>
    <xf numFmtId="0" applyNumberFormat="1" fontId="41" applyFont="1" fillId="0" applyFill="1" borderId="18" applyBorder="1" xfId="0" applyProtection="1" applyAlignment="1">
      <alignment vertical="center"/>
    </xf>
    <xf numFmtId="0" applyNumberFormat="1" fontId="41" applyFont="1" fillId="0" applyFill="1" borderId="97" applyBorder="1" xfId="0" applyProtection="1" applyAlignment="1">
      <alignment vertical="center"/>
    </xf>
    <xf numFmtId="0" applyNumberFormat="1" fontId="41" applyFont="1" fillId="0" applyFill="1" borderId="7" applyBorder="1" xfId="0" applyProtection="1" applyAlignment="1">
      <alignment vertical="center"/>
    </xf>
    <xf numFmtId="0" applyNumberFormat="1" fontId="41" applyFont="1" fillId="0" applyFill="1" borderId="54" applyBorder="1" xfId="0" applyProtection="1" applyAlignment="1">
      <alignment vertical="center"/>
    </xf>
    <xf numFmtId="0" applyNumberFormat="1" fontId="42" applyFont="1" fillId="0" applyFill="1" borderId="0" applyBorder="1" xfId="0" applyProtection="1" applyAlignment="1">
      <alignment vertical="center"/>
    </xf>
    <xf numFmtId="0" applyNumberFormat="1" fontId="43" applyFont="1" fillId="0" applyFill="1" borderId="1" applyBorder="1" xfId="0" applyProtection="1" applyAlignment="1">
      <alignment horizontal="left" vertical="center"/>
    </xf>
    <xf numFmtId="0" applyNumberFormat="1" fontId="43" applyFont="1" fillId="0" applyFill="1" borderId="4" applyBorder="1" xfId="0" applyProtection="1" applyAlignment="1">
      <alignment horizontal="left" vertical="center"/>
    </xf>
    <xf numFmtId="0" applyNumberFormat="1" fontId="43" applyFont="1" fillId="0" applyFill="1" borderId="4" applyBorder="1" xfId="0" applyProtection="1" applyAlignment="1">
      <alignment vertical="center"/>
    </xf>
    <xf numFmtId="0" applyNumberFormat="1" fontId="43" applyFont="1" fillId="0" applyFill="1" borderId="9" applyBorder="1" xfId="0" quotePrefix="1" applyProtection="1" applyAlignment="1">
      <alignment vertical="center"/>
    </xf>
    <xf numFmtId="0" applyNumberFormat="1" fontId="40" applyFont="1" fillId="0" applyFill="1" borderId="0" applyBorder="1" xfId="0" applyProtection="1" applyAlignment="1">
      <alignment vertical="center"/>
    </xf>
    <xf numFmtId="0" applyNumberFormat="1" fontId="1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0" applyNumberFormat="1" fontId="36" applyFont="1" fillId="0" applyFill="1" borderId="13" applyBorder="1" xfId="0" applyProtection="1" applyAlignment="1">
      <alignment vertical="center"/>
    </xf>
    <xf numFmtId="0" applyNumberFormat="1" fontId="1" applyFont="1" fillId="3" applyFill="1" borderId="26" applyBorder="1" xfId="0" quotePrefix="1" applyProtection="1" applyAlignment="1">
      <alignment vertical="center"/>
    </xf>
    <xf numFmtId="0" applyNumberFormat="1" fontId="1" applyFont="1" fillId="3" applyFill="1" borderId="40" applyBorder="1" xfId="0" applyProtection="1" applyAlignment="1">
      <alignment vertical="center"/>
    </xf>
    <xf numFmtId="0" applyNumberFormat="1" fontId="1" applyFont="1" fillId="3" applyFill="1" borderId="104" applyBorder="1" xfId="0" applyProtection="1" applyAlignment="1">
      <alignment vertical="center"/>
    </xf>
    <xf numFmtId="0" applyNumberFormat="1" fontId="36" applyFont="1" fillId="0" applyFill="1" borderId="0" applyBorder="1" xfId="0" applyProtection="1" applyAlignment="1">
      <alignment vertical="center"/>
    </xf>
    <xf numFmtId="167" applyNumberFormat="1" fontId="44" applyFont="1" fillId="0" applyFill="1" borderId="33" applyBorder="1" xfId="0" applyProtection="1" applyAlignment="1">
      <alignment horizontal="center" vertical="center"/>
    </xf>
    <xf numFmtId="2" applyNumberFormat="1" fontId="21" applyFont="1" fillId="0" applyFill="1" borderId="76" applyBorder="1" xfId="0" applyProtection="1" applyAlignment="1">
      <alignment horizontal="center" vertical="center"/>
    </xf>
    <xf numFmtId="0" applyNumberFormat="1" fontId="21" applyFont="1" fillId="0" applyFill="1" borderId="76" applyBorder="1" xfId="0" applyProtection="1" applyAlignment="1">
      <alignment vertical="center"/>
    </xf>
    <xf numFmtId="167" applyNumberFormat="1" fontId="21" applyFont="1" fillId="0" applyFill="1" borderId="29" applyBorder="1" xfId="0" applyProtection="1" applyAlignment="1">
      <alignment horizontal="center" vertical="center"/>
    </xf>
    <xf numFmtId="2" applyNumberFormat="1" fontId="35" applyFont="1" fillId="0" applyFill="1" borderId="33" applyBorder="1" xfId="0" applyProtection="1" applyAlignment="1">
      <alignment horizontal="left" vertical="center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3" applyFill="1" borderId="32" applyBorder="1" xfId="0" applyProtection="1" applyAlignment="1">
      <alignment horizontal="center" vertical="center"/>
    </xf>
    <xf numFmtId="0" applyNumberFormat="1" fontId="45" applyFont="1" fillId="0" applyFill="1" borderId="29" applyBorder="1" xfId="0" applyProtection="1" applyAlignment="1">
      <alignment vertical="center"/>
    </xf>
    <xf numFmtId="0" applyNumberFormat="1" fontId="34" applyFont="1" fillId="0" applyFill="1" borderId="29" applyBorder="1" xfId="0" applyProtection="1" applyAlignment="1">
      <alignment vertical="center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3" applyFill="1" borderId="31" applyBorder="1" xfId="0" applyProtection="1" applyAlignment="1">
      <alignment horizontal="center" vertical="center"/>
    </xf>
    <xf numFmtId="0" applyNumberFormat="1" fontId="1" applyFont="1" fillId="3" applyFill="1" borderId="32" applyBorder="1" xfId="0" applyProtection="1" applyAlignment="1">
      <alignment horizontal="center" vertical="center"/>
    </xf>
    <xf numFmtId="2" applyNumberFormat="1" fontId="21" applyFont="1" fillId="0" applyFill="1" borderId="30" applyBorder="1" xfId="0" applyProtection="1" applyAlignment="1">
      <alignment horizontal="center" vertical="center"/>
    </xf>
    <xf numFmtId="2" applyNumberFormat="1" fontId="1" applyFont="1" fillId="0" applyFill="1" borderId="0" applyBorder="1" xfId="0" applyProtection="1" applyAlignment="1">
      <alignment horizontal="center" vertical="center"/>
    </xf>
    <xf numFmtId="0" applyNumberFormat="1" fontId="18" applyFont="1" fillId="3" applyFill="1" borderId="26" applyBorder="1" xfId="0" applyProtection="1" applyAlignment="1">
      <alignment horizontal="center" vertical="center"/>
    </xf>
    <xf numFmtId="2" applyNumberFormat="1" fontId="22" applyFont="1" fillId="0" applyFill="1" borderId="30" applyBorder="1" xfId="0" applyProtection="1" applyAlignment="1">
      <alignment vertical="center"/>
    </xf>
    <xf numFmtId="2" applyNumberFormat="1" fontId="21" applyFont="1" fillId="0" applyFill="1" borderId="0" applyBorder="1" xfId="0" applyProtection="1" applyAlignment="1">
      <alignment vertical="center"/>
    </xf>
    <xf numFmtId="2" applyNumberFormat="1" fontId="21" applyFont="1" fillId="0" applyFill="1" borderId="0" applyBorder="1" xfId="0" applyProtection="1" applyAlignment="1">
      <alignment horizontal="center" vertical="center"/>
    </xf>
    <xf numFmtId="2" applyNumberFormat="1" fontId="35" applyFont="1" fillId="0" applyFill="1" borderId="0" applyBorder="1" xfId="0" applyProtection="1" applyAlignment="1">
      <alignment horizontal="center" vertical="center"/>
    </xf>
    <xf numFmtId="2" applyNumberFormat="1" fontId="35" applyFont="1" fillId="0" applyFill="1" borderId="0" applyBorder="1" xfId="0" applyProtection="1" applyAlignment="1">
      <alignment vertical="center"/>
    </xf>
    <xf numFmtId="0" applyNumberFormat="1" fontId="18" applyFont="1" fillId="3" applyFill="1" borderId="80" applyBorder="1" xfId="0" applyProtection="1" applyAlignment="1">
      <alignment horizontal="center" vertical="center"/>
    </xf>
    <xf numFmtId="0" applyNumberFormat="1" fontId="1" applyFont="1" fillId="3" applyFill="1" borderId="80" applyBorder="1" xfId="0" quotePrefix="1" applyProtection="1" applyAlignment="1">
      <alignment horizontal="center" vertical="center"/>
    </xf>
    <xf numFmtId="0" applyNumberFormat="1" fontId="1" applyFont="1" fillId="3" applyFill="1" borderId="81" applyBorder="1" xfId="0" quotePrefix="1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left" vertical="center"/>
    </xf>
    <xf numFmtId="0" applyNumberFormat="1" fontId="26" applyFont="1" fillId="0" applyFill="1" borderId="0" applyBorder="1" xfId="0" applyProtection="1" applyAlignment="1">
      <alignment horizontal="right" vertical="center"/>
    </xf>
    <xf numFmtId="0" applyNumberFormat="1" fontId="33" applyFont="1" fillId="3" applyFill="1" borderId="0" applyBorder="1" xfId="0" applyProtection="1"/>
    <xf numFmtId="0" applyNumberFormat="1" fontId="33" applyFont="1" fillId="0" applyFill="1" borderId="0" applyBorder="1" xfId="0" applyProtection="1"/>
    <xf numFmtId="0" applyNumberFormat="1" fontId="9" applyFont="1" fillId="0" applyFill="1" borderId="0" applyBorder="1" xfId="0" quotePrefix="1" applyProtection="1" applyAlignment="1">
      <alignment horizontal="left" vertical="center"/>
    </xf>
    <xf numFmtId="0" applyNumberFormat="1" fontId="1" applyFont="1" fillId="0" applyFill="1" borderId="9" applyBorder="1" xfId="0" applyProtection="1" applyAlignment="1">
      <alignment vertical="center"/>
    </xf>
    <xf numFmtId="167" applyNumberFormat="1" fontId="1" applyFont="1" fillId="0" applyFill="1" borderId="10" applyBorder="1" xfId="0" applyProtection="1" applyAlignment="1">
      <alignment horizontal="center" vertical="center"/>
    </xf>
    <xf numFmtId="2" applyNumberFormat="1" fontId="1" applyFont="1" fillId="0" applyFill="1" borderId="79" applyBorder="1" xfId="0" applyProtection="1" applyAlignment="1">
      <alignment horizontal="center" vertical="center"/>
    </xf>
    <xf numFmtId="2" applyNumberFormat="1" fontId="1" applyFont="1" fillId="0" applyFill="1" borderId="10" applyBorder="1" xfId="0" applyProtection="1" applyAlignment="1">
      <alignment horizontal="left" vertical="center"/>
    </xf>
    <xf numFmtId="167" applyNumberFormat="1" fontId="1" applyFont="1" fillId="0" applyFill="1" borderId="48" applyBorder="1" xfId="0" applyProtection="1" applyAlignment="1">
      <alignment horizontal="center" vertical="center"/>
    </xf>
    <xf numFmtId="0" applyNumberFormat="1" fontId="1" applyFont="1" fillId="0" applyFill="1" borderId="10" applyBorder="1" xfId="0" applyProtection="1" applyAlignment="1">
      <alignment vertical="center"/>
    </xf>
    <xf numFmtId="0" applyNumberFormat="1" fontId="1" applyFont="1" fillId="0" applyFill="1" borderId="11" applyBorder="1" xfId="0" applyProtection="1" applyAlignment="1">
      <alignment vertical="center"/>
    </xf>
    <xf numFmtId="0" applyNumberFormat="1" fontId="19" applyFont="1" fillId="3" applyFill="1" borderId="31" applyBorder="1" xfId="0" applyProtection="1" applyAlignment="1">
      <alignment horizontal="center" vertical="center"/>
    </xf>
    <xf numFmtId="0" applyNumberFormat="1" fontId="18" applyFont="1" fillId="3" applyFill="1" borderId="31" applyBorder="1" xfId="0" applyProtection="1" applyAlignment="1">
      <alignment horizontal="center" vertical="center"/>
    </xf>
    <xf numFmtId="0" applyNumberFormat="1" fontId="27" applyFont="1" fillId="3" applyFill="1" borderId="23" applyBorder="1" xfId="0" applyProtection="1" applyAlignment="1">
      <alignment vertical="center"/>
    </xf>
    <xf numFmtId="0" applyNumberFormat="1" fontId="21" applyFont="1" fillId="0" applyFill="1" borderId="29" applyBorder="1" xfId="0" applyProtection="1" applyAlignment="1">
      <alignment vertical="center"/>
    </xf>
    <xf numFmtId="168" applyNumberFormat="1" fontId="21" applyFont="1" fillId="0" applyFill="1" borderId="29" applyBorder="1" xfId="0" applyProtection="1" applyAlignment="1">
      <alignment vertical="center"/>
    </xf>
    <xf numFmtId="0" applyNumberFormat="1" fontId="1" applyFont="1" fillId="3" applyFill="1" borderId="80" applyBorder="1" xfId="0" quotePrefix="1" applyProtection="1" applyAlignment="1">
      <alignment vertical="center"/>
    </xf>
    <xf numFmtId="0" applyNumberFormat="1" fontId="1" applyFont="1" fillId="3" applyFill="1" borderId="81" applyBorder="1" xfId="0" quotePrefix="1" applyProtection="1" applyAlignment="1">
      <alignment vertical="center"/>
    </xf>
    <xf numFmtId="0" applyNumberFormat="1" fontId="1" applyFont="1" fillId="3" applyFill="1" borderId="31" applyBorder="1" xfId="0" applyProtection="1" applyAlignment="1">
      <alignment horizontal="center" vertical="center"/>
    </xf>
    <xf numFmtId="0" applyNumberFormat="1" fontId="30" applyFont="1" fillId="0" applyFill="1" borderId="0" applyBorder="1" xfId="0" applyProtection="1" applyAlignment="1">
      <alignment horizontal="left" vertical="center"/>
    </xf>
    <xf numFmtId="172" applyNumberFormat="1" fontId="21" applyFont="1" fillId="0" applyFill="1" borderId="30" applyBorder="1" xfId="0" applyProtection="1" applyAlignment="1">
      <alignment vertical="center"/>
    </xf>
    <xf numFmtId="0" applyNumberFormat="1" fontId="12" applyFont="1" fillId="0" applyFill="1" borderId="4" applyBorder="1" xfId="0" applyProtection="1" applyAlignment="1">
      <alignment vertical="center"/>
    </xf>
    <xf numFmtId="2" applyNumberFormat="1" fontId="35" applyFont="1" fillId="0" applyFill="1" borderId="33" applyBorder="1" xfId="0" applyProtection="1" applyAlignment="1">
      <alignment horizontal="center" vertical="center"/>
    </xf>
    <xf numFmtId="0" applyNumberFormat="1" fontId="1" applyFont="1" fillId="3" applyFill="1" borderId="82" applyBorder="1" xfId="0" applyProtection="1" applyAlignment="1">
      <alignment horizontal="center" vertical="center"/>
    </xf>
    <xf numFmtId="0" applyNumberFormat="1" fontId="1" applyFont="1" fillId="3" applyFill="1" borderId="105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16" applyBorder="1" xfId="0" applyProtection="1" applyAlignment="1">
      <alignment horizontal="left" vertical="center"/>
    </xf>
    <xf numFmtId="0" applyNumberFormat="1" fontId="1" applyFont="1" fillId="3" applyFill="1" borderId="20" applyBorder="1" xfId="0" applyProtection="1" applyAlignment="1">
      <alignment horizontal="center" vertical="center"/>
    </xf>
    <xf numFmtId="0" applyNumberFormat="1" fontId="1" applyFont="1" fillId="3" applyFill="1" borderId="22" applyBorder="1" xfId="0" applyProtection="1" applyAlignment="1">
      <alignment horizontal="center" vertical="center"/>
    </xf>
    <xf numFmtId="0" applyNumberFormat="1" fontId="27" applyFont="1" fillId="0" applyFill="1" borderId="7" applyBorder="1" xfId="0" applyProtection="1" applyAlignment="1">
      <alignment horizontal="center" vertical="center"/>
    </xf>
    <xf numFmtId="0" applyNumberFormat="1" fontId="27" applyFont="1" fillId="0" applyFill="1" borderId="16" applyBorder="1" xfId="0" applyProtection="1" applyAlignment="1">
      <alignment horizontal="center" vertical="center"/>
    </xf>
    <xf numFmtId="0" applyNumberFormat="1" fontId="1" applyFont="1" fillId="3" applyFill="1" borderId="21" applyBorder="1" xfId="0" applyProtection="1" applyAlignment="1">
      <alignment horizontal="center" vertical="center"/>
    </xf>
    <xf numFmtId="0" applyNumberFormat="1" fontId="1" applyFont="1" fillId="0" applyFill="1" borderId="44" applyBorder="1" xfId="0" applyProtection="1" applyAlignment="1">
      <alignment horizontal="left" vertical="center"/>
    </xf>
    <xf numFmtId="0" applyNumberFormat="1" fontId="1" applyFont="1" fillId="0" applyFill="1" borderId="34" applyBorder="1" xfId="0" applyProtection="1" applyAlignment="1">
      <alignment horizontal="left" vertical="center"/>
    </xf>
    <xf numFmtId="0" applyNumberFormat="1" fontId="1" applyFont="1" fillId="0" applyFill="1" borderId="17" applyBorder="1" xfId="0" applyProtection="1" applyAlignment="1">
      <alignment horizontal="left" vertical="center"/>
    </xf>
    <xf numFmtId="0" applyNumberFormat="1" fontId="1" applyFont="1" fillId="0" applyFill="1" borderId="9" applyBorder="1" xfId="0" applyProtection="1" applyAlignment="1">
      <alignment horizontal="left" vertical="center"/>
    </xf>
    <xf numFmtId="0" applyNumberFormat="1" fontId="1" applyFont="1" fillId="0" applyFill="1" borderId="10" applyBorder="1" xfId="0" applyProtection="1" applyAlignment="1">
      <alignment horizontal="left" vertical="center"/>
    </xf>
    <xf numFmtId="0" applyNumberFormat="1" fontId="1" applyFont="1" fillId="0" applyFill="1" borderId="16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7" applyBorder="1" xfId="0" applyProtection="1" applyAlignment="1">
      <alignment horizontal="center" vertical="center"/>
    </xf>
    <xf numFmtId="0" applyNumberFormat="1" fontId="1" applyFont="1" fillId="0" applyFill="1" borderId="7" applyBorder="1" xfId="0" applyProtection="1" applyAlignment="1">
      <alignment horizontal="left" vertical="center"/>
    </xf>
    <xf numFmtId="0" applyNumberFormat="1" fontId="27" applyFont="1" fillId="3" applyFill="1" borderId="20" applyBorder="1" xfId="0" applyProtection="1" applyAlignment="1">
      <alignment horizontal="center" vertical="center"/>
    </xf>
    <xf numFmtId="0" applyNumberFormat="1" fontId="27" applyFont="1" fillId="3" applyFill="1" borderId="21" applyBorder="1" xfId="0" applyProtection="1" applyAlignment="1">
      <alignment horizontal="center" vertical="center"/>
    </xf>
    <xf numFmtId="0" applyNumberFormat="1" fontId="27" applyFont="1" fillId="3" applyFill="1" borderId="22" applyBorder="1" xfId="0" applyProtection="1" applyAlignment="1">
      <alignment horizontal="center" vertical="center"/>
    </xf>
    <xf numFmtId="0" applyNumberFormat="1" fontId="9" applyFont="1" fillId="3" applyFill="1" borderId="82" applyBorder="1" xfId="0" applyProtection="1" applyAlignment="1">
      <alignment horizontal="center" vertical="center"/>
    </xf>
    <xf numFmtId="0" applyNumberFormat="1" fontId="9" applyFont="1" fillId="3" applyFill="1" borderId="20" applyBorder="1" xfId="0" applyProtection="1" applyAlignment="1">
      <alignment horizontal="center" vertical="center"/>
    </xf>
    <xf numFmtId="0" applyNumberFormat="1" fontId="9" applyFont="1" fillId="3" applyFill="1" borderId="21" applyBorder="1" xfId="0" applyProtection="1" applyAlignment="1">
      <alignment horizontal="center" vertical="center"/>
    </xf>
    <xf numFmtId="0" applyNumberFormat="1" fontId="9" applyFont="1" fillId="3" applyFill="1" borderId="49" applyBorder="1" xfId="0" applyProtection="1" applyAlignment="1">
      <alignment horizontal="center" vertical="center"/>
    </xf>
    <xf numFmtId="0" applyNumberFormat="1" fontId="17" applyFont="1" fillId="3" applyFill="1" borderId="23" applyBorder="1" xfId="0" applyProtection="1" applyAlignment="1">
      <alignment horizontal="center" vertical="center"/>
    </xf>
    <xf numFmtId="0" applyNumberFormat="1" fontId="17" applyFont="1" fillId="3" applyFill="1" borderId="26" applyBorder="1" xfId="0" applyProtection="1" applyAlignment="1">
      <alignment horizontal="center" vertical="center"/>
    </xf>
    <xf numFmtId="0" applyNumberFormat="1" fontId="15" applyFont="1" fillId="0" applyFill="1" borderId="18" applyBorder="1" xfId="0" applyProtection="1" applyAlignment="1">
      <alignment horizontal="left" vertical="center"/>
    </xf>
    <xf numFmtId="0" applyNumberFormat="1" fontId="15" applyFont="1" fillId="0" applyFill="1" borderId="17" applyBorder="1" xfId="0" applyProtection="1" applyAlignment="1">
      <alignment horizontal="left" vertical="center"/>
    </xf>
    <xf numFmtId="0" applyNumberFormat="1" fontId="28" applyFont="1" fillId="0" applyFill="1" borderId="0" applyBorder="1" xfId="0" applyProtection="1" applyAlignment="1">
      <alignment horizontal="center" vertical="center"/>
    </xf>
    <xf numFmtId="0" applyNumberFormat="1" fontId="29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18" applyBorder="1" xfId="0" applyProtection="1" applyAlignment="1">
      <alignment horizontal="left" vertical="center"/>
    </xf>
    <xf numFmtId="0" applyNumberFormat="1" fontId="1" applyFont="1" fillId="0" applyFill="1" borderId="0" applyBorder="1" xfId="0" quotePrefix="1" applyProtection="1" applyAlignment="1">
      <alignment horizontal="left" vertical="center"/>
    </xf>
    <xf numFmtId="0" applyNumberFormat="1" fontId="27" applyFont="1" fillId="0" applyFill="1" borderId="0" applyBorder="1" xfId="0" applyProtection="1" applyAlignment="1">
      <alignment horizontal="center" vertical="center"/>
    </xf>
    <xf numFmtId="0" applyNumberFormat="1" fontId="27" applyFont="1" fillId="0" applyFill="1" borderId="0" applyBorder="1" xfId="0" quotePrefix="1" applyProtection="1" applyAlignment="1">
      <alignment horizontal="center" vertical="center"/>
    </xf>
    <xf numFmtId="0" applyNumberFormat="1" fontId="26" applyFont="1" fillId="0" applyFill="1" borderId="0" applyBorder="1" xfId="0" applyProtection="1" applyAlignment="1">
      <alignment horizontal="right" vertical="center"/>
    </xf>
    <xf numFmtId="0" applyNumberFormat="1" fontId="1" applyFont="1" fillId="0" applyFill="1" borderId="69" applyBorder="1" xfId="0" applyProtection="1" applyAlignment="1">
      <alignment horizontal="center" vertical="center"/>
    </xf>
    <xf numFmtId="0" applyNumberFormat="1" fontId="1" applyFont="1" fillId="0" applyFill="1" borderId="21" applyBorder="1" xfId="0" applyProtection="1" applyAlignment="1">
      <alignment horizontal="center" vertical="center"/>
    </xf>
    <xf numFmtId="0" applyNumberFormat="1" fontId="1" applyFont="1" fillId="0" applyFill="1" borderId="70" applyBorder="1" xfId="0" applyProtection="1" applyAlignment="1">
      <alignment horizontal="center" vertical="center"/>
    </xf>
    <xf numFmtId="0" applyNumberFormat="1" fontId="1" applyFont="1" fillId="0" applyFill="1" borderId="52" applyBorder="1" xfId="0" applyProtection="1" applyAlignment="1">
      <alignment horizontal="center" vertical="center"/>
    </xf>
    <xf numFmtId="0" applyNumberFormat="1" fontId="1" applyFont="1" fillId="0" applyFill="1" borderId="53" applyBorder="1" xfId="0" applyProtection="1" applyAlignment="1">
      <alignment horizontal="center" vertical="center"/>
    </xf>
    <xf numFmtId="0" applyNumberFormat="1" fontId="1" applyFont="1" fillId="0" applyFill="1" borderId="31" applyBorder="1" xfId="0" applyProtection="1" applyAlignment="1">
      <alignment horizontal="center" vertical="center"/>
    </xf>
    <xf numFmtId="0" applyNumberFormat="1" fontId="1" applyFont="1" fillId="0" applyFill="1" borderId="3" applyBorder="1" xfId="0" applyProtection="1" applyAlignment="1">
      <alignment horizontal="center" vertical="center"/>
    </xf>
    <xf numFmtId="0" applyNumberFormat="1" fontId="1" applyFont="1" fillId="0" applyFill="1" borderId="55" applyBorder="1" xfId="1" applyProtection="1" applyAlignment="1">
      <alignment horizontal="center" vertical="center"/>
    </xf>
    <xf numFmtId="0" applyNumberFormat="1" fontId="1" applyFont="1" fillId="0" applyFill="1" borderId="56" applyBorder="1" xfId="1" applyProtection="1" applyAlignment="1">
      <alignment horizontal="center" vertical="center"/>
    </xf>
    <xf numFmtId="0" applyNumberFormat="1" fontId="1" applyFont="1" fillId="0" applyFill="1" borderId="32" applyBorder="1" xfId="0" applyProtection="1" applyAlignment="1">
      <alignment horizontal="center" vertical="center"/>
    </xf>
    <xf numFmtId="0" applyNumberFormat="1" fontId="1" applyFont="1" fillId="0" applyFill="1" borderId="56" applyBorder="1" xfId="0" applyProtection="1" applyAlignment="1">
      <alignment horizontal="center" vertical="center"/>
    </xf>
    <xf numFmtId="0" applyNumberFormat="1" fontId="1" applyFont="1" fillId="3" applyFill="1" borderId="49" applyBorder="1" xfId="0" applyProtection="1" applyAlignment="1">
      <alignment horizontal="center" vertical="center"/>
    </xf>
    <xf numFmtId="0" applyNumberFormat="1" fontId="1" applyFont="1" fillId="0" applyFill="1" borderId="0" applyBorder="1" xfId="3" quotePrefix="1" applyProtection="1" applyAlignment="1">
      <alignment horizontal="left" vertical="center"/>
    </xf>
    <xf numFmtId="0" applyNumberFormat="1" fontId="1" applyFont="1" fillId="0" applyFill="1" borderId="0" applyBorder="1" xfId="0" quotePrefix="1" applyProtection="1" applyAlignment="1">
      <alignment horizontal="center" vertical="center"/>
    </xf>
    <xf numFmtId="0" applyNumberFormat="1" fontId="1" applyFont="1" fillId="0" applyFill="1" borderId="57" applyBorder="1" xfId="0" applyProtection="1" applyAlignment="1">
      <alignment horizontal="center" vertical="center"/>
    </xf>
    <xf numFmtId="0" applyNumberFormat="1" fontId="1" applyFont="1" fillId="0" applyFill="1" borderId="58" applyBorder="1" xfId="0" applyProtection="1" applyAlignment="1">
      <alignment horizontal="center" vertical="center"/>
    </xf>
    <xf numFmtId="0" applyNumberFormat="1" fontId="1" applyFont="1" fillId="0" applyFill="1" borderId="59" applyBorder="1" xfId="1" applyProtection="1" applyAlignment="1">
      <alignment horizontal="center" vertical="center"/>
    </xf>
    <xf numFmtId="0" applyNumberFormat="1" fontId="1" applyFont="1" fillId="0" applyFill="1" borderId="60" applyBorder="1" xfId="1" applyProtection="1" applyAlignment="1">
      <alignment horizontal="center" vertical="center"/>
    </xf>
    <xf numFmtId="0" applyNumberFormat="1" fontId="1" applyFont="1" fillId="0" applyFill="1" borderId="1" applyBorder="1" xfId="0" applyProtection="1" applyAlignment="1">
      <alignment horizontal="center" vertical="center"/>
    </xf>
    <xf numFmtId="0" applyNumberFormat="1" fontId="1" applyFont="1" fillId="0" applyFill="1" borderId="51" applyBorder="1" xfId="0" applyProtection="1" applyAlignment="1">
      <alignment horizontal="center" vertical="center"/>
    </xf>
    <xf numFmtId="0" applyNumberFormat="1" fontId="1" applyFont="1" fillId="0" applyFill="1" borderId="6" applyBorder="1" xfId="0" applyProtection="1" applyAlignment="1">
      <alignment horizontal="center" vertical="center"/>
    </xf>
    <xf numFmtId="0" applyNumberFormat="1" fontId="1" applyFont="1" fillId="0" applyFill="1" borderId="54" applyBorder="1" xfId="0" applyProtection="1" applyAlignment="1">
      <alignment horizontal="center" vertical="center"/>
    </xf>
    <xf numFmtId="0" applyNumberFormat="1" fontId="1" applyFont="1" fillId="0" applyFill="1" borderId="61" applyBorder="1" xfId="1" applyProtection="1" applyAlignment="1">
      <alignment horizontal="center" vertical="center"/>
    </xf>
    <xf numFmtId="168" applyNumberFormat="1" fontId="1" applyFont="1" fillId="0" applyFill="1" borderId="61" applyBorder="1" xfId="1" applyProtection="1" applyAlignment="1">
      <alignment horizontal="center" vertical="center"/>
    </xf>
    <xf numFmtId="168" applyNumberFormat="1" fontId="1" applyFont="1" fillId="0" applyFill="1" borderId="62" applyBorder="1" xfId="1" applyProtection="1" applyAlignment="1">
      <alignment horizontal="center" vertical="center"/>
    </xf>
    <xf numFmtId="0" applyNumberFormat="1" fontId="1" applyFont="1" fillId="0" applyFill="1" borderId="63" applyBorder="1" xfId="0" applyProtection="1" applyAlignment="1">
      <alignment horizontal="center" vertical="center"/>
    </xf>
    <xf numFmtId="0" applyNumberFormat="1" fontId="1" applyFont="1" fillId="0" applyFill="1" borderId="64" applyBorder="1" xfId="0" applyProtection="1" applyAlignment="1">
      <alignment horizontal="center" vertical="center"/>
    </xf>
    <xf numFmtId="1" applyNumberFormat="1" fontId="1" applyFont="1" fillId="0" applyFill="1" borderId="65" applyBorder="1" xfId="1" applyProtection="1" applyAlignment="1">
      <alignment horizontal="center" vertical="center"/>
    </xf>
    <xf numFmtId="1" applyNumberFormat="1" fontId="1" applyFont="1" fillId="0" applyFill="1" borderId="66" applyBorder="1" xfId="1" applyProtection="1" applyAlignment="1">
      <alignment horizontal="center" vertical="center"/>
    </xf>
    <xf numFmtId="1" applyNumberFormat="1" fontId="1" applyFont="1" fillId="0" applyFill="1" borderId="67" applyBorder="1" xfId="1" applyProtection="1" applyAlignment="1">
      <alignment horizontal="center" vertical="center"/>
    </xf>
    <xf numFmtId="168" applyNumberFormat="1" fontId="1" applyFont="1" fillId="0" applyFill="1" borderId="67" applyBorder="1" xfId="1" applyProtection="1" applyAlignment="1">
      <alignment horizontal="center" vertical="center"/>
    </xf>
    <xf numFmtId="168" applyNumberFormat="1" fontId="1" applyFont="1" fillId="0" applyFill="1" borderId="68" applyBorder="1" xfId="1" applyProtection="1" applyAlignment="1">
      <alignment horizontal="center" vertical="center"/>
    </xf>
    <xf numFmtId="0" applyNumberFormat="1" fontId="1" applyFont="1" fillId="0" applyFill="1" borderId="52" applyBorder="1" xfId="0" applyProtection="1" applyAlignment="1">
      <alignment horizontal="center" vertical="center"/>
    </xf>
    <xf numFmtId="0" applyNumberFormat="1" fontId="1" applyFont="1" fillId="0" applyFill="1" borderId="2" applyBorder="1" xfId="0" applyProtection="1" applyAlignment="1">
      <alignment horizontal="center" vertical="center"/>
    </xf>
    <xf numFmtId="0" applyNumberFormat="1" fontId="1" applyFont="1" fillId="0" applyFill="1" borderId="3" applyBorder="1" xfId="0" applyProtection="1" applyAlignment="1">
      <alignment horizontal="center" vertical="center"/>
    </xf>
    <xf numFmtId="0" applyNumberFormat="1" fontId="1" applyFont="1" fillId="0" applyFill="1" borderId="55" applyBorder="1" xfId="0" applyProtection="1" applyAlignment="1">
      <alignment horizontal="center" vertical="center"/>
    </xf>
    <xf numFmtId="0" applyNumberFormat="1" fontId="1" applyFont="1" fillId="0" applyFill="1" borderId="7" applyBorder="1" xfId="0" applyProtection="1" applyAlignment="1">
      <alignment horizontal="center" vertical="center"/>
    </xf>
    <xf numFmtId="0" applyNumberFormat="1" fontId="1" applyFont="1" fillId="0" applyFill="1" borderId="8" applyBorder="1" xfId="0" applyProtection="1" applyAlignment="1">
      <alignment horizontal="center" vertical="center"/>
    </xf>
    <xf numFmtId="0" applyNumberFormat="1" fontId="1" applyFont="1" fillId="0" applyFill="1" borderId="71" applyBorder="1" xfId="0" applyProtection="1" applyAlignment="1">
      <alignment horizontal="center" vertical="center"/>
    </xf>
    <xf numFmtId="0" applyNumberFormat="1" fontId="1" applyFont="1" fillId="0" applyFill="1" borderId="40" applyBorder="1" xfId="0" applyProtection="1" applyAlignment="1">
      <alignment horizontal="center" vertical="center"/>
    </xf>
    <xf numFmtId="0" applyNumberFormat="1" fontId="1" applyFont="1" fillId="0" applyFill="1" borderId="72" applyBorder="1" xfId="0" applyProtection="1" applyAlignment="1">
      <alignment horizontal="center" vertical="center"/>
    </xf>
    <xf numFmtId="164" applyNumberFormat="1" fontId="1" applyFont="1" fillId="0" applyFill="1" borderId="42" applyBorder="1" xfId="1" applyProtection="1" applyAlignment="1">
      <alignment horizontal="center" vertical="center"/>
    </xf>
    <xf numFmtId="164" applyNumberFormat="1" fontId="1" applyFont="1" fillId="0" applyFill="1" borderId="40" applyBorder="1" xfId="1" applyProtection="1" applyAlignment="1">
      <alignment horizontal="center" vertical="center"/>
    </xf>
    <xf numFmtId="164" applyNumberFormat="1" fontId="1" applyFont="1" fillId="0" applyFill="1" borderId="73" applyBorder="1" xfId="1" applyProtection="1" applyAlignment="1">
      <alignment horizontal="center" vertical="center"/>
    </xf>
    <xf numFmtId="0" applyNumberFormat="1" fontId="25" applyFont="1" fillId="0" applyFill="1" borderId="44" applyBorder="1" xfId="0" applyProtection="1" applyAlignment="1">
      <alignment horizontal="center" vertical="center"/>
    </xf>
    <xf numFmtId="0" applyNumberFormat="1" fontId="25" applyFont="1" fillId="0" applyFill="1" borderId="16" applyBorder="1" xfId="0" applyProtection="1" applyAlignment="1">
      <alignment horizontal="center" vertical="center"/>
    </xf>
    <xf numFmtId="0" applyNumberFormat="1" fontId="25" applyFont="1" fillId="0" applyFill="1" borderId="74" applyBorder="1" xfId="0" applyProtection="1" applyAlignment="1">
      <alignment horizontal="center" vertical="center"/>
    </xf>
    <xf numFmtId="0" applyNumberFormat="1" fontId="25" applyFont="1" fillId="0" applyFill="1" borderId="50" applyBorder="1" xfId="0" applyProtection="1" applyAlignment="1">
      <alignment horizontal="center" vertical="center"/>
    </xf>
    <xf numFmtId="0" applyNumberFormat="1" fontId="25" applyFont="1" fillId="0" applyFill="1" borderId="75" applyBorder="1" xfId="0" applyProtection="1" applyAlignment="1">
      <alignment horizontal="center" vertical="center"/>
    </xf>
    <xf numFmtId="0" applyNumberFormat="1" fontId="25" applyFont="1" fillId="0" applyFill="1" borderId="45" applyBorder="1" xfId="0" applyProtection="1" applyAlignment="1">
      <alignment horizontal="center" vertical="center"/>
    </xf>
    <xf numFmtId="0" applyNumberFormat="1" fontId="25" applyFont="1" fillId="0" applyFill="1" borderId="46" applyBorder="1" xfId="0" applyProtection="1" applyAlignment="1">
      <alignment horizontal="center" vertical="center"/>
    </xf>
    <xf numFmtId="0" applyNumberFormat="1" fontId="9" applyFont="1" fillId="0" applyFill="1" borderId="4" applyBorder="1" xfId="0" applyProtection="1" applyAlignment="1">
      <alignment horizontal="center" vertical="center"/>
    </xf>
    <xf numFmtId="0" applyNumberFormat="1" fontId="9" applyFont="1" fillId="0" applyFill="1" borderId="0" applyBorder="1" xfId="0" applyProtection="1" applyAlignment="1">
      <alignment horizontal="center" vertical="center"/>
    </xf>
    <xf numFmtId="0" applyNumberFormat="1" fontId="9" applyFont="1" fillId="0" applyFill="1" borderId="76" applyBorder="1" xfId="0" applyProtection="1" applyAlignment="1">
      <alignment horizontal="center" vertical="center"/>
    </xf>
    <xf numFmtId="0" applyNumberFormat="1" fontId="9" applyFont="1" fillId="0" applyFill="1" borderId="33" applyBorder="1" xfId="0" applyProtection="1" applyAlignment="1">
      <alignment horizontal="center" vertical="center"/>
    </xf>
    <xf numFmtId="0" applyNumberFormat="1" fontId="9" applyFont="1" fillId="0" applyFill="1" borderId="77" applyBorder="1" xfId="0" applyProtection="1" applyAlignment="1">
      <alignment horizontal="center" vertical="center"/>
    </xf>
    <xf numFmtId="0" applyNumberFormat="1" fontId="9" applyFont="1" fillId="0" applyFill="1" borderId="78" applyBorder="1" xfId="0" applyProtection="1" applyAlignment="1">
      <alignment horizontal="center" vertical="center"/>
    </xf>
    <xf numFmtId="0" applyNumberFormat="1" fontId="9" applyFont="1" fillId="0" applyFill="1" borderId="5" applyBorder="1" xfId="0" applyProtection="1" applyAlignment="1">
      <alignment horizontal="center" vertical="center"/>
    </xf>
    <xf numFmtId="0" applyNumberFormat="1" fontId="1" applyFont="1" fillId="0" applyFill="1" borderId="15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 applyAlignment="1">
      <alignment horizontal="left" vertical="center"/>
    </xf>
    <xf numFmtId="0" applyNumberFormat="1" fontId="1" applyFont="1" fillId="3" applyFill="1" borderId="69" applyBorder="1" xfId="0" applyProtection="1" applyAlignment="1">
      <alignment horizontal="center" vertical="center"/>
    </xf>
    <xf numFmtId="0" applyNumberFormat="1" fontId="1" applyFont="1" fillId="3" applyFill="1" borderId="70" applyBorder="1" xfId="0" applyProtection="1" applyAlignment="1">
      <alignment horizontal="center" vertical="center"/>
    </xf>
    <xf numFmtId="0" applyNumberFormat="1" fontId="1" applyFont="1" fillId="3" applyFill="1" borderId="52" applyBorder="1" xfId="0" applyProtection="1" applyAlignment="1">
      <alignment horizontal="center" vertical="center"/>
    </xf>
    <xf numFmtId="0" applyNumberFormat="1" fontId="1" applyFont="1" fillId="3" applyFill="1" borderId="2" applyBorder="1" xfId="0" applyProtection="1" applyAlignment="1">
      <alignment horizontal="center" vertical="center"/>
    </xf>
    <xf numFmtId="0" applyNumberFormat="1" fontId="1" applyFont="1" fillId="3" applyFill="1" borderId="3" applyBorder="1" xfId="0" applyProtection="1" applyAlignment="1">
      <alignment horizontal="center" vertical="center"/>
    </xf>
    <xf numFmtId="0" applyNumberFormat="1" fontId="1" applyFont="1" fillId="3" applyFill="1" borderId="55" applyBorder="1" xfId="0" applyProtection="1" applyAlignment="1">
      <alignment horizontal="center" vertical="center"/>
    </xf>
    <xf numFmtId="0" applyNumberFormat="1" fontId="1" applyFont="1" fillId="3" applyFill="1" borderId="7" applyBorder="1" xfId="0" applyProtection="1" applyAlignment="1">
      <alignment horizontal="center" vertical="center"/>
    </xf>
    <xf numFmtId="0" applyNumberFormat="1" fontId="1" applyFont="1" fillId="3" applyFill="1" borderId="8" applyBorder="1" xfId="0" applyProtection="1" applyAlignment="1">
      <alignment horizontal="center" vertical="center"/>
    </xf>
    <xf numFmtId="0" applyNumberFormat="1" fontId="1" applyFont="1" fillId="3" applyFill="1" borderId="71" applyBorder="1" xfId="0" applyProtection="1" applyAlignment="1">
      <alignment horizontal="center" vertical="center"/>
    </xf>
    <xf numFmtId="0" applyNumberFormat="1" fontId="1" applyFont="1" fillId="3" applyFill="1" borderId="40" applyBorder="1" xfId="0" applyProtection="1" applyAlignment="1">
      <alignment horizontal="center" vertical="center"/>
    </xf>
    <xf numFmtId="0" applyNumberFormat="1" fontId="1" applyFont="1" fillId="3" applyFill="1" borderId="72" applyBorder="1" xfId="0" applyProtection="1" applyAlignment="1">
      <alignment horizontal="center" vertical="center"/>
    </xf>
    <xf numFmtId="164" applyNumberFormat="1" fontId="1" applyFont="1" fillId="3" applyFill="1" borderId="42" applyBorder="1" xfId="1" applyProtection="1" applyAlignment="1">
      <alignment horizontal="center" vertical="center"/>
    </xf>
    <xf numFmtId="164" applyNumberFormat="1" fontId="1" applyFont="1" fillId="3" applyFill="1" borderId="40" applyBorder="1" xfId="1" applyProtection="1" applyAlignment="1">
      <alignment horizontal="center" vertical="center"/>
    </xf>
    <xf numFmtId="164" applyNumberFormat="1" fontId="1" applyFont="1" fillId="3" applyFill="1" borderId="73" applyBorder="1" xfId="1" applyProtection="1" applyAlignment="1">
      <alignment horizontal="center" vertical="center"/>
    </xf>
    <xf numFmtId="0" applyNumberFormat="1" fontId="28" applyFont="1" fillId="0" applyFill="1" borderId="18" applyBorder="1" xfId="0" applyProtection="1" applyAlignment="1">
      <alignment horizontal="center" vertical="center"/>
    </xf>
    <xf numFmtId="0" applyNumberFormat="1" fontId="29" applyFont="1" fillId="0" applyFill="1" borderId="7" applyBorder="1" xfId="0" applyProtection="1" applyAlignment="1">
      <alignment horizontal="center" vertical="center"/>
    </xf>
    <xf numFmtId="0" applyNumberFormat="1" fontId="1" applyFont="1" fillId="3" applyFill="1" borderId="31" applyBorder="1" xfId="0" applyProtection="1" applyAlignment="1">
      <alignment horizontal="center" vertical="center"/>
    </xf>
    <xf numFmtId="0" applyNumberFormat="1" fontId="1" applyFont="1" fillId="3" applyFill="1" borderId="42" applyBorder="1" xfId="0" applyProtection="1" applyAlignment="1">
      <alignment horizontal="center" vertical="center"/>
    </xf>
    <xf numFmtId="0" applyNumberFormat="1" fontId="1" applyFont="1" fillId="3" applyFill="1" borderId="104" applyBorder="1" xfId="0" applyProtection="1" applyAlignment="1">
      <alignment horizontal="center" vertical="center"/>
    </xf>
    <xf numFmtId="0" applyNumberFormat="1" fontId="25" applyFont="1" fillId="0" applyFill="1" borderId="44" applyBorder="1" xfId="0" applyProtection="1" applyAlignment="1">
      <alignment horizontal="center" vertical="center"/>
    </xf>
    <xf numFmtId="0" applyNumberFormat="1" fontId="25" applyFont="1" fillId="0" applyFill="1" borderId="16" applyBorder="1" xfId="0" applyProtection="1" applyAlignment="1">
      <alignment horizontal="center" vertical="center"/>
    </xf>
    <xf numFmtId="0" applyNumberFormat="1" fontId="25" applyFont="1" fillId="0" applyFill="1" borderId="74" applyBorder="1" xfId="0" applyProtection="1" applyAlignment="1">
      <alignment horizontal="center" vertical="center"/>
    </xf>
    <xf numFmtId="0" applyNumberFormat="1" fontId="25" applyFont="1" fillId="0" applyFill="1" borderId="50" applyBorder="1" xfId="0" applyProtection="1" applyAlignment="1">
      <alignment horizontal="center" vertical="center"/>
    </xf>
    <xf numFmtId="0" applyNumberFormat="1" fontId="25" applyFont="1" fillId="0" applyFill="1" borderId="75" applyBorder="1" xfId="0" applyProtection="1" applyAlignment="1">
      <alignment horizontal="center" vertical="center"/>
    </xf>
    <xf numFmtId="0" applyNumberFormat="1" fontId="25" applyFont="1" fillId="0" applyFill="1" borderId="45" applyBorder="1" xfId="0" applyProtection="1" applyAlignment="1">
      <alignment horizontal="center" vertical="center"/>
    </xf>
    <xf numFmtId="0" applyNumberFormat="1" fontId="25" applyFont="1" fillId="0" applyFill="1" borderId="46" applyBorder="1" xfId="0" applyProtection="1" applyAlignment="1">
      <alignment horizontal="center" vertical="center"/>
    </xf>
    <xf numFmtId="0" applyNumberFormat="1" fontId="9" applyFont="1" fillId="0" applyFill="1" borderId="4" applyBorder="1" xfId="0" applyProtection="1" applyAlignment="1">
      <alignment horizontal="center" vertical="center"/>
    </xf>
    <xf numFmtId="0" applyNumberFormat="1" fontId="9" applyFont="1" fillId="0" applyFill="1" borderId="0" applyBorder="1" xfId="0" applyProtection="1" applyAlignment="1">
      <alignment horizontal="center" vertical="center"/>
    </xf>
    <xf numFmtId="0" applyNumberFormat="1" fontId="9" applyFont="1" fillId="0" applyFill="1" borderId="76" applyBorder="1" xfId="0" applyProtection="1" applyAlignment="1">
      <alignment horizontal="center" vertical="center"/>
    </xf>
    <xf numFmtId="0" applyNumberFormat="1" fontId="9" applyFont="1" fillId="0" applyFill="1" borderId="33" applyBorder="1" xfId="0" applyProtection="1" applyAlignment="1">
      <alignment horizontal="center" vertical="center"/>
    </xf>
    <xf numFmtId="0" applyNumberFormat="1" fontId="9" applyFont="1" fillId="0" applyFill="1" borderId="77" applyBorder="1" xfId="0" applyProtection="1" applyAlignment="1">
      <alignment horizontal="center" vertical="center"/>
    </xf>
    <xf numFmtId="0" applyNumberFormat="1" fontId="9" applyFont="1" fillId="0" applyFill="1" borderId="78" applyBorder="1" xfId="0" applyProtection="1" applyAlignment="1">
      <alignment horizontal="center" vertical="center"/>
    </xf>
    <xf numFmtId="0" applyNumberFormat="1" fontId="9" applyFont="1" fillId="0" applyFill="1" borderId="5" applyBorder="1" xfId="0" applyProtection="1" applyAlignment="1">
      <alignment horizontal="center" vertical="center"/>
    </xf>
    <xf numFmtId="0" applyNumberFormat="1" fontId="1" applyFont="1" fillId="0" applyFill="1" borderId="45" applyBorder="1" xfId="0" quotePrefix="1" applyProtection="1" applyAlignment="1">
      <alignment horizontal="left" vertical="center" wrapText="1"/>
    </xf>
    <xf numFmtId="0" applyNumberFormat="1" fontId="1" applyFont="1" fillId="0" applyFill="1" borderId="16" applyBorder="1" xfId="0" quotePrefix="1" applyProtection="1" applyAlignment="1">
      <alignment horizontal="left" vertical="center" wrapText="1"/>
    </xf>
    <xf numFmtId="0" applyNumberFormat="1" fontId="1" applyFont="1" fillId="0" applyFill="1" borderId="75" applyBorder="1" xfId="0" quotePrefix="1" applyProtection="1" applyAlignment="1">
      <alignment horizontal="left" vertical="center" wrapText="1"/>
    </xf>
    <xf numFmtId="0" applyNumberFormat="1" fontId="1" applyFont="1" fillId="0" applyFill="1" borderId="47" applyBorder="1" xfId="0" quotePrefix="1" applyProtection="1" applyAlignment="1">
      <alignment horizontal="left" vertical="center" wrapText="1"/>
    </xf>
    <xf numFmtId="0" applyNumberFormat="1" fontId="1" applyFont="1" fillId="0" applyFill="1" borderId="17" applyBorder="1" xfId="0" quotePrefix="1" applyProtection="1" applyAlignment="1">
      <alignment horizontal="left" vertical="center" wrapText="1"/>
    </xf>
    <xf numFmtId="0" applyNumberFormat="1" fontId="1" applyFont="1" fillId="0" applyFill="1" borderId="92" applyBorder="1" xfId="0" quotePrefix="1" applyProtection="1" applyAlignment="1">
      <alignment horizontal="left" vertical="center" wrapText="1"/>
    </xf>
    <xf numFmtId="0" applyNumberFormat="1" fontId="1" applyFont="1" fillId="0" applyFill="1" borderId="95" applyBorder="1" xfId="0" quotePrefix="1" applyProtection="1" applyAlignment="1">
      <alignment horizontal="left" vertical="center"/>
    </xf>
    <xf numFmtId="0" applyNumberFormat="1" fontId="1" applyFont="1" fillId="0" applyFill="1" borderId="18" applyBorder="1" xfId="0" quotePrefix="1" applyProtection="1" applyAlignment="1">
      <alignment horizontal="left" vertical="center"/>
    </xf>
    <xf numFmtId="0" applyNumberFormat="1" fontId="1" applyFont="1" fillId="0" applyFill="1" borderId="97" applyBorder="1" xfId="0" quotePrefix="1" applyProtection="1" applyAlignment="1">
      <alignment horizontal="left" vertical="center"/>
    </xf>
    <xf numFmtId="0" applyNumberFormat="1" fontId="1" applyFont="1" fillId="0" applyFill="1" borderId="48" applyBorder="1" xfId="0" quotePrefix="1" applyProtection="1" applyAlignment="1">
      <alignment horizontal="left" vertical="center"/>
    </xf>
    <xf numFmtId="0" applyNumberFormat="1" fontId="1" applyFont="1" fillId="0" applyFill="1" borderId="10" applyBorder="1" xfId="0" quotePrefix="1" applyProtection="1" applyAlignment="1">
      <alignment horizontal="left" vertical="center"/>
    </xf>
    <xf numFmtId="0" applyNumberFormat="1" fontId="1" applyFont="1" fillId="0" applyFill="1" borderId="101" applyBorder="1" xfId="0" quotePrefix="1" applyProtection="1" applyAlignment="1">
      <alignment horizontal="left" vertical="center"/>
    </xf>
    <xf numFmtId="0" applyNumberFormat="1" fontId="1" applyFont="1" fillId="0" applyFill="1" borderId="47" applyBorder="1" xfId="0" applyProtection="1" applyAlignment="1">
      <alignment horizontal="center" vertical="center"/>
    </xf>
    <xf numFmtId="0" applyNumberFormat="1" fontId="1" applyFont="1" fillId="0" applyFill="1" borderId="92" applyBorder="1" xfId="0" applyProtection="1" applyAlignment="1">
      <alignment horizontal="center" vertical="center"/>
    </xf>
    <xf numFmtId="0" applyNumberFormat="1" fontId="1" applyFont="1" fillId="0" applyFill="1" borderId="103" applyBorder="1" xfId="0" applyProtection="1" applyAlignment="1">
      <alignment horizontal="center" vertical="center"/>
    </xf>
    <xf numFmtId="0" applyNumberFormat="1" fontId="1" applyFont="1" fillId="0" applyFill="1" borderId="73" applyBorder="1" xfId="0" applyProtection="1" applyAlignment="1">
      <alignment horizontal="center" vertical="center"/>
    </xf>
    <xf numFmtId="0" applyNumberFormat="1" fontId="1" applyFont="1" fillId="0" applyFill="1" borderId="78" applyBorder="1" xfId="0" quotePrefix="1" applyProtection="1" applyAlignment="1">
      <alignment horizontal="left" vertical="center" wrapText="1"/>
    </xf>
    <xf numFmtId="0" applyNumberFormat="1" fontId="1" applyFont="1" fillId="0" applyFill="1" borderId="77" applyBorder="1" xfId="0" quotePrefix="1" applyProtection="1" applyAlignment="1">
      <alignment horizontal="left" vertical="center"/>
    </xf>
    <xf numFmtId="0" applyNumberFormat="1" fontId="1" applyFont="1" fillId="0" applyFill="1" borderId="55" applyBorder="1" xfId="0" quotePrefix="1" applyProtection="1" applyAlignment="1">
      <alignment horizontal="left" vertical="center"/>
    </xf>
    <xf numFmtId="0" applyNumberFormat="1" fontId="1" applyFont="1" fillId="0" applyFill="1" borderId="7" applyBorder="1" xfId="0" quotePrefix="1" applyProtection="1" applyAlignment="1">
      <alignment horizontal="left" vertical="center"/>
    </xf>
    <xf numFmtId="0" applyNumberFormat="1" fontId="1" applyFont="1" fillId="0" applyFill="1" borderId="54" applyBorder="1" xfId="0" quotePrefix="1" applyProtection="1" applyAlignment="1">
      <alignment horizontal="left" vertical="center"/>
    </xf>
    <xf numFmtId="0" applyNumberFormat="1" fontId="1" applyFont="1" fillId="0" applyFill="1" borderId="78" applyBorder="1" xfId="0" quotePrefix="1" applyProtection="1" applyAlignment="1">
      <alignment horizontal="left" vertical="center"/>
    </xf>
    <xf numFmtId="11" applyNumberFormat="1" fontId="1" applyFont="1" fillId="0" applyFill="1" borderId="78" applyBorder="1" xfId="0" applyProtection="1" applyAlignment="1">
      <alignment horizontal="left" vertical="center"/>
    </xf>
    <xf numFmtId="11" applyNumberFormat="1" fontId="1" applyFont="1" fillId="0" applyFill="1" borderId="0" applyBorder="1" xfId="0" applyProtection="1" applyAlignment="1">
      <alignment horizontal="left" vertical="center"/>
    </xf>
    <xf numFmtId="11" applyNumberFormat="1" fontId="1" applyFont="1" fillId="0" applyFill="1" borderId="77" applyBorder="1" xfId="0" applyProtection="1" applyAlignment="1">
      <alignment horizontal="left" vertical="center"/>
    </xf>
    <xf numFmtId="11" applyNumberFormat="1" fontId="1" applyFont="1" fillId="0" applyFill="1" borderId="55" applyBorder="1" xfId="0" applyProtection="1" applyAlignment="1">
      <alignment horizontal="left" vertical="center"/>
    </xf>
    <xf numFmtId="11" applyNumberFormat="1" fontId="1" applyFont="1" fillId="0" applyFill="1" borderId="7" applyBorder="1" xfId="0" applyProtection="1" applyAlignment="1">
      <alignment horizontal="left" vertical="center"/>
    </xf>
    <xf numFmtId="11" applyNumberFormat="1" fontId="1" applyFont="1" fillId="0" applyFill="1" borderId="54" applyBorder="1" xfId="0" applyProtection="1" applyAlignment="1">
      <alignment horizontal="left" vertical="center"/>
    </xf>
    <xf numFmtId="0" applyNumberFormat="1" fontId="41" applyFont="1" fillId="0" applyFill="1" borderId="88" applyBorder="1" xfId="0" applyProtection="1" applyAlignment="1">
      <alignment horizontal="center" vertical="center"/>
    </xf>
    <xf numFmtId="0" applyNumberFormat="1" fontId="41" applyFont="1" fillId="0" applyFill="1" borderId="91" applyBorder="1" xfId="0" applyProtection="1" applyAlignment="1">
      <alignment horizontal="center" vertical="center"/>
    </xf>
    <xf numFmtId="2" applyNumberFormat="1" fontId="1" applyFont="1" fillId="0" applyFill="1" borderId="89" applyBorder="1" xfId="0" applyProtection="1" applyAlignment="1">
      <alignment horizontal="center" vertical="center"/>
    </xf>
    <xf numFmtId="2" applyNumberFormat="1" fontId="1" applyFont="1" fillId="0" applyFill="1" borderId="93" applyBorder="1" xfId="0" applyProtection="1" applyAlignment="1">
      <alignment horizontal="center" vertical="center"/>
    </xf>
    <xf numFmtId="0" applyNumberFormat="1" fontId="41" applyFont="1" fillId="0" applyFill="1" borderId="96" applyBorder="1" xfId="0" applyProtection="1" applyAlignment="1">
      <alignment horizontal="center" vertical="center"/>
    </xf>
    <xf numFmtId="0" applyNumberFormat="1" fontId="41" applyFont="1" fillId="0" applyFill="1" borderId="95" applyBorder="1" xfId="0" applyProtection="1" applyAlignment="1">
      <alignment horizontal="left" vertical="center"/>
    </xf>
    <xf numFmtId="0" applyNumberFormat="1" fontId="41" applyFont="1" fillId="0" applyFill="1" borderId="18" applyBorder="1" xfId="0" applyProtection="1" applyAlignment="1">
      <alignment horizontal="left" vertical="center"/>
    </xf>
    <xf numFmtId="0" applyNumberFormat="1" fontId="41" applyFont="1" fillId="0" applyFill="1" borderId="97" applyBorder="1" xfId="0" applyProtection="1" applyAlignment="1">
      <alignment horizontal="left" vertical="center"/>
    </xf>
    <xf numFmtId="0" applyNumberFormat="1" fontId="41" applyFont="1" fillId="0" applyFill="1" borderId="55" applyBorder="1" xfId="0" applyProtection="1" applyAlignment="1">
      <alignment horizontal="left" vertical="center"/>
    </xf>
    <xf numFmtId="0" applyNumberFormat="1" fontId="41" applyFont="1" fillId="0" applyFill="1" borderId="7" applyBorder="1" xfId="0" applyProtection="1" applyAlignment="1">
      <alignment horizontal="left" vertical="center"/>
    </xf>
    <xf numFmtId="0" applyNumberFormat="1" fontId="41" applyFont="1" fillId="0" applyFill="1" borderId="54" applyBorder="1" xfId="0" applyProtection="1" applyAlignment="1">
      <alignment horizontal="left" vertical="center"/>
    </xf>
    <xf numFmtId="2" applyNumberFormat="1" fontId="1" applyFont="1" fillId="0" applyFill="1" borderId="95" applyBorder="1" xfId="0" applyProtection="1" applyAlignment="1">
      <alignment horizontal="left" vertical="center"/>
    </xf>
    <xf numFmtId="2" applyNumberFormat="1" fontId="1" applyFont="1" fillId="0" applyFill="1" borderId="18" applyBorder="1" xfId="0" applyProtection="1" applyAlignment="1">
      <alignment horizontal="left" vertical="center"/>
    </xf>
    <xf numFmtId="2" applyNumberFormat="1" fontId="1" applyFont="1" fillId="0" applyFill="1" borderId="97" applyBorder="1" xfId="0" applyProtection="1" applyAlignment="1">
      <alignment horizontal="left" vertical="center"/>
    </xf>
    <xf numFmtId="2" applyNumberFormat="1" fontId="1" applyFont="1" fillId="0" applyFill="1" borderId="55" applyBorder="1" xfId="0" applyProtection="1" applyAlignment="1">
      <alignment horizontal="left" vertical="center"/>
    </xf>
    <xf numFmtId="2" applyNumberFormat="1" fontId="1" applyFont="1" fillId="0" applyFill="1" borderId="7" applyBorder="1" xfId="0" applyProtection="1" applyAlignment="1">
      <alignment horizontal="left" vertical="center"/>
    </xf>
    <xf numFmtId="2" applyNumberFormat="1" fontId="1" applyFont="1" fillId="0" applyFill="1" borderId="54" applyBorder="1" xfId="0" applyProtection="1" applyAlignment="1">
      <alignment horizontal="left" vertical="center"/>
    </xf>
    <xf numFmtId="2" applyNumberFormat="1" fontId="1" applyFont="1" fillId="0" applyFill="1" borderId="98" applyBorder="1" xfId="0" applyProtection="1" applyAlignment="1">
      <alignment horizontal="center" vertical="center"/>
    </xf>
    <xf numFmtId="0" applyNumberFormat="1" fontId="1" applyFont="1" fillId="0" applyFill="1" borderId="94" applyBorder="1" xfId="0" applyProtection="1" applyAlignment="1">
      <alignment horizontal="center" vertical="center"/>
    </xf>
    <xf numFmtId="0" applyNumberFormat="1" fontId="1" applyFont="1" fillId="0" applyFill="1" borderId="99" applyBorder="1" xfId="0" applyProtection="1" applyAlignment="1">
      <alignment horizontal="center" vertical="center"/>
    </xf>
    <xf numFmtId="0" applyNumberFormat="1" fontId="1" applyFont="1" fillId="0" applyFill="1" borderId="96" applyBorder="1" xfId="0" quotePrefix="1" applyProtection="1" applyAlignment="1">
      <alignment horizontal="center" vertical="center"/>
    </xf>
    <xf numFmtId="0" applyNumberFormat="1" fontId="1" applyFont="1" fillId="0" applyFill="1" borderId="100" applyBorder="1" xfId="0" quotePrefix="1" applyProtection="1" applyAlignment="1">
      <alignment horizontal="center" vertical="center"/>
    </xf>
    <xf numFmtId="11" applyNumberFormat="1" fontId="1" applyFont="1" fillId="0" applyFill="1" borderId="95" applyBorder="1" xfId="0" applyProtection="1" applyAlignment="1">
      <alignment horizontal="center" vertical="center"/>
    </xf>
    <xf numFmtId="11" applyNumberFormat="1" fontId="1" applyFont="1" fillId="0" applyFill="1" borderId="97" applyBorder="1" xfId="0" applyProtection="1" applyAlignment="1">
      <alignment horizontal="center" vertical="center"/>
    </xf>
    <xf numFmtId="11" applyNumberFormat="1" fontId="1" applyFont="1" fillId="0" applyFill="1" borderId="48" applyBorder="1" xfId="0" applyProtection="1" applyAlignment="1">
      <alignment horizontal="center" vertical="center"/>
    </xf>
    <xf numFmtId="11" applyNumberFormat="1" fontId="1" applyFont="1" fillId="0" applyFill="1" borderId="101" applyBorder="1" xfId="0" applyProtection="1" applyAlignment="1">
      <alignment horizontal="center" vertical="center"/>
    </xf>
    <xf numFmtId="0" applyNumberFormat="1" fontId="41" applyFont="1" fillId="0" applyFill="1" borderId="100" applyBorder="1" xfId="0" applyProtection="1" applyAlignment="1">
      <alignment horizontal="center" vertical="center"/>
    </xf>
    <xf numFmtId="2" applyNumberFormat="1" fontId="1" applyFont="1" fillId="0" applyFill="1" borderId="102" applyBorder="1" xfId="0" applyProtection="1" applyAlignment="1">
      <alignment horizontal="center" vertical="center"/>
    </xf>
    <xf numFmtId="0" applyNumberFormat="1" fontId="1" applyFont="1" fillId="0" applyFill="1" borderId="90" applyBorder="1" xfId="0" applyProtection="1" applyAlignment="1">
      <alignment horizontal="center" vertical="center"/>
    </xf>
    <xf numFmtId="0" applyNumberFormat="1" fontId="1" applyFont="1" fillId="0" applyFill="1" borderId="95" applyBorder="1" xfId="0" quotePrefix="1" applyProtection="1" applyAlignment="1">
      <alignment horizontal="left" vertical="center" wrapText="1"/>
    </xf>
    <xf numFmtId="0" applyNumberFormat="1" fontId="1" applyFont="1" fillId="0" applyFill="1" borderId="18" applyBorder="1" xfId="0" quotePrefix="1" applyProtection="1" applyAlignment="1">
      <alignment horizontal="left" vertical="center" wrapText="1"/>
    </xf>
    <xf numFmtId="0" applyNumberFormat="1" fontId="1" applyFont="1" fillId="0" applyFill="1" borderId="91" applyBorder="1" xfId="0" quotePrefix="1" applyProtection="1" applyAlignment="1">
      <alignment horizontal="center" vertical="center"/>
    </xf>
    <xf numFmtId="11" applyNumberFormat="1" fontId="1" applyFont="1" fillId="0" applyFill="1" borderId="47" applyBorder="1" xfId="0" applyProtection="1" applyAlignment="1">
      <alignment horizontal="center" vertical="center"/>
    </xf>
    <xf numFmtId="11" applyNumberFormat="1" fontId="1" applyFont="1" fillId="0" applyFill="1" borderId="92" applyBorder="1" xfId="0" applyProtection="1" applyAlignment="1">
      <alignment horizontal="center" vertical="center"/>
    </xf>
    <xf numFmtId="171" applyNumberFormat="1" fontId="1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83" applyBorder="1" xfId="0" applyProtection="1" applyAlignment="1">
      <alignment horizontal="center" vertical="center"/>
    </xf>
    <xf numFmtId="0" applyNumberFormat="1" fontId="1" applyFont="1" fillId="0" applyFill="1" borderId="85" applyBorder="1" xfId="0" applyProtection="1" applyAlignment="1">
      <alignment horizontal="center" vertical="center"/>
    </xf>
    <xf numFmtId="0" applyNumberFormat="1" fontId="1" applyFont="1" fillId="0" applyFill="1" borderId="52" applyBorder="1" xfId="0" quotePrefix="1" applyProtection="1" applyAlignment="1">
      <alignment horizontal="center" vertical="center"/>
    </xf>
    <xf numFmtId="0" applyNumberFormat="1" fontId="1" applyFont="1" fillId="0" applyFill="1" borderId="2" applyBorder="1" xfId="0" quotePrefix="1" applyProtection="1" applyAlignment="1">
      <alignment horizontal="center" vertical="center"/>
    </xf>
    <xf numFmtId="0" applyNumberFormat="1" fontId="1" applyFont="1" fillId="0" applyFill="1" borderId="51" applyBorder="1" xfId="0" quotePrefix="1" applyProtection="1" applyAlignment="1">
      <alignment horizontal="center" vertical="center"/>
    </xf>
    <xf numFmtId="0" applyNumberFormat="1" fontId="1" applyFont="1" fillId="0" applyFill="1" borderId="55" applyBorder="1" xfId="0" quotePrefix="1" applyProtection="1" applyAlignment="1">
      <alignment horizontal="center" vertical="center"/>
    </xf>
    <xf numFmtId="0" applyNumberFormat="1" fontId="1" applyFont="1" fillId="0" applyFill="1" borderId="7" applyBorder="1" xfId="0" quotePrefix="1" applyProtection="1" applyAlignment="1">
      <alignment horizontal="center" vertical="center"/>
    </xf>
    <xf numFmtId="0" applyNumberFormat="1" fontId="1" applyFont="1" fillId="0" applyFill="1" borderId="54" applyBorder="1" xfId="0" quotePrefix="1" applyProtection="1" applyAlignment="1">
      <alignment horizontal="center" vertical="center"/>
    </xf>
    <xf numFmtId="0" applyNumberFormat="1" fontId="1" applyFont="1" fillId="0" applyFill="1" borderId="87" applyBorder="1" xfId="0" applyProtection="1" applyAlignment="1">
      <alignment horizontal="center" vertical="center"/>
    </xf>
    <xf numFmtId="0" applyNumberFormat="1" fontId="1" applyFont="1" fillId="0" applyFill="1" borderId="88" applyBorder="1" xfId="0" quotePrefix="1" applyProtection="1" applyAlignment="1">
      <alignment horizontal="center" vertical="center"/>
    </xf>
    <xf numFmtId="11" applyNumberFormat="1" fontId="1" applyFont="1" fillId="0" applyFill="1" borderId="45" applyBorder="1" xfId="0" applyProtection="1" applyAlignment="1">
      <alignment horizontal="center" vertical="center"/>
    </xf>
    <xf numFmtId="11" applyNumberFormat="1" fontId="1" applyFont="1" fillId="0" applyFill="1" borderId="75" applyBorder="1" xfId="0" applyProtection="1" applyAlignment="1">
      <alignment horizontal="center" vertical="center"/>
    </xf>
    <xf numFmtId="174" applyNumberFormat="1" fontId="1" applyFont="1" fillId="0" applyFill="1" borderId="45" applyBorder="1" xfId="0" applyProtection="1" applyAlignment="1">
      <alignment horizontal="center" vertical="center"/>
    </xf>
    <xf numFmtId="174" applyNumberFormat="1" fontId="1" applyFont="1" fillId="0" applyFill="1" borderId="75" applyBorder="1" xfId="0" applyProtection="1" applyAlignment="1">
      <alignment horizontal="center" vertical="center"/>
    </xf>
    <xf numFmtId="174" applyNumberFormat="1" fontId="1" applyFont="1" fillId="0" applyFill="1" borderId="47" applyBorder="1" xfId="0" applyProtection="1" applyAlignment="1">
      <alignment horizontal="center" vertical="center"/>
    </xf>
    <xf numFmtId="174" applyNumberFormat="1" fontId="1" applyFont="1" fillId="0" applyFill="1" borderId="92" applyBorder="1" xfId="0" applyProtection="1" applyAlignment="1">
      <alignment horizontal="center" vertical="center"/>
    </xf>
    <xf numFmtId="167" applyNumberFormat="1" fontId="21" applyFont="1" fillId="0" applyFill="1" borderId="106" applyBorder="1" xfId="0" applyProtection="1" applyAlignment="1">
      <alignment vertical="center"/>
    </xf>
    <xf numFmtId="167" applyNumberFormat="1" fontId="21" applyFont="1" fillId="0" applyFill="1" borderId="0" applyBorder="1" xfId="0" applyProtection="1" applyAlignment="1">
      <alignment vertical="center"/>
    </xf>
  </cellXfs>
  <cellStyles count="4">
    <cellStyle name="Comma [0]" xfId="1" builtinId="6"/>
    <cellStyle name="Comma [0] 2" xfId="2"/>
    <cellStyle name="Normal" xfId="0" builtinId="0"/>
    <cellStyle name="Normal 2" xfId="3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336401</xdr:colOff>
      <xdr:row>52</xdr:row>
      <xdr:rowOff>70374</xdr:rowOff>
    </xdr:from>
    <xdr:to>
      <xdr:col>13</xdr:col>
      <xdr:colOff>120226</xdr:colOff>
      <xdr:row>61</xdr:row>
      <xdr:rowOff>164685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372D7A6-31BA-46A7-B92E-F313B535E0F6}"/>
            </a:ext>
          </a:extLst>
        </xdr:cNvPr>
        <xdr:cNvGrpSpPr/>
      </xdr:nvGrpSpPr>
      <xdr:grpSpPr>
        <a:xfrm>
          <a:off x="4279751" y="10204974"/>
          <a:ext cx="1536425" cy="1808811"/>
          <a:chOff x="5402908" y="11004247"/>
          <a:chExt cx="1904257" cy="1789137"/>
        </a:xfrm>
      </xdr:grpSpPr>
      <xdr:sp macro="" textlink="">
        <xdr:nvSpPr>
          <xdr:cNvPr id="3" name="Freeform 6">
            <a:extLst>
              <a:ext uri="{FF2B5EF4-FFF2-40B4-BE49-F238E27FC236}">
                <a16:creationId xmlns:a16="http://schemas.microsoft.com/office/drawing/2014/main" id="{468180B3-765B-4801-B53D-45020E3A4E7E}"/>
              </a:ext>
            </a:extLst>
          </xdr:cNvPr>
          <xdr:cNvSpPr/>
        </xdr:nvSpPr>
        <xdr:spPr>
          <a:xfrm>
            <a:off x="5402908" y="11204134"/>
            <a:ext cx="155122" cy="1589250"/>
          </a:xfrm>
          <a:custGeom>
            <a:avLst/>
            <a:gdLst>
              <a:gd name="connsiteX0" fmla="*/ 73478 w 155121"/>
              <a:gd name="connsiteY0" fmla="*/ 0 h 1687286"/>
              <a:gd name="connsiteX1" fmla="*/ 73478 w 155121"/>
              <a:gd name="connsiteY1" fmla="*/ 767443 h 1687286"/>
              <a:gd name="connsiteX2" fmla="*/ 155121 w 155121"/>
              <a:gd name="connsiteY2" fmla="*/ 767443 h 1687286"/>
              <a:gd name="connsiteX3" fmla="*/ 0 w 155121"/>
              <a:gd name="connsiteY3" fmla="*/ 808265 h 1687286"/>
              <a:gd name="connsiteX4" fmla="*/ 78921 w 155121"/>
              <a:gd name="connsiteY4" fmla="*/ 808265 h 1687286"/>
              <a:gd name="connsiteX5" fmla="*/ 78921 w 155121"/>
              <a:gd name="connsiteY5" fmla="*/ 1687286 h 168728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55121" h="1687286">
                <a:moveTo>
                  <a:pt x="73478" y="0"/>
                </a:moveTo>
                <a:lnTo>
                  <a:pt x="73478" y="767443"/>
                </a:lnTo>
                <a:lnTo>
                  <a:pt x="155121" y="767443"/>
                </a:lnTo>
                <a:lnTo>
                  <a:pt x="0" y="808265"/>
                </a:lnTo>
                <a:lnTo>
                  <a:pt x="78921" y="808265"/>
                </a:lnTo>
                <a:lnTo>
                  <a:pt x="78921" y="1687286"/>
                </a:lnTo>
              </a:path>
            </a:pathLst>
          </a:custGeom>
          <a:noFill/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B24E0F09-64E5-47F5-9917-A92A44C8CF2E}"/>
              </a:ext>
            </a:extLst>
          </xdr:cNvPr>
          <xdr:cNvGrpSpPr/>
        </xdr:nvGrpSpPr>
        <xdr:grpSpPr>
          <a:xfrm>
            <a:off x="5472286" y="11004247"/>
            <a:ext cx="1834879" cy="1651015"/>
            <a:chOff x="5403378" y="11106286"/>
            <a:chExt cx="1818139" cy="1667007"/>
          </a:xfrm>
        </xdr:grpSpPr>
        <xdr:sp macro="" textlink="">
          <xdr:nvSpPr>
            <xdr:cNvPr id="5" name="Freeform 8">
              <a:extLst>
                <a:ext uri="{FF2B5EF4-FFF2-40B4-BE49-F238E27FC236}">
                  <a16:creationId xmlns:a16="http://schemas.microsoft.com/office/drawing/2014/main" id="{D8264A03-2BB8-4132-87B3-ACC001303778}"/>
                </a:ext>
              </a:extLst>
            </xdr:cNvPr>
            <xdr:cNvSpPr/>
          </xdr:nvSpPr>
          <xdr:spPr>
            <a:xfrm>
              <a:off x="5412921" y="11397343"/>
              <a:ext cx="1240971" cy="293915"/>
            </a:xfrm>
            <a:custGeom>
              <a:avLst/>
              <a:gdLst>
                <a:gd name="connsiteX0" fmla="*/ 933450 w 1240971"/>
                <a:gd name="connsiteY0" fmla="*/ 206829 h 293915"/>
                <a:gd name="connsiteX1" fmla="*/ 1240971 w 1240971"/>
                <a:gd name="connsiteY1" fmla="*/ 206829 h 293915"/>
                <a:gd name="connsiteX2" fmla="*/ 1240971 w 1240971"/>
                <a:gd name="connsiteY2" fmla="*/ 0 h 293915"/>
                <a:gd name="connsiteX3" fmla="*/ 0 w 1240971"/>
                <a:gd name="connsiteY3" fmla="*/ 0 h 293915"/>
                <a:gd name="connsiteX4" fmla="*/ 0 w 1240971"/>
                <a:gd name="connsiteY4" fmla="*/ 293915 h 293915"/>
                <a:gd name="connsiteX5" fmla="*/ 859971 w 1240971"/>
                <a:gd name="connsiteY5" fmla="*/ 293915 h 293915"/>
                <a:gd name="connsiteX6" fmla="*/ 933450 w 1240971"/>
                <a:gd name="connsiteY6" fmla="*/ 206829 h 29391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1240971" h="293915">
                  <a:moveTo>
                    <a:pt x="933450" y="206829"/>
                  </a:moveTo>
                  <a:lnTo>
                    <a:pt x="1240971" y="206829"/>
                  </a:lnTo>
                  <a:lnTo>
                    <a:pt x="1240971" y="0"/>
                  </a:lnTo>
                  <a:lnTo>
                    <a:pt x="0" y="0"/>
                  </a:lnTo>
                  <a:lnTo>
                    <a:pt x="0" y="293915"/>
                  </a:lnTo>
                  <a:lnTo>
                    <a:pt x="859971" y="293915"/>
                  </a:lnTo>
                  <a:lnTo>
                    <a:pt x="933450" y="206829"/>
                  </a:lnTo>
                  <a:close/>
                </a:path>
              </a:pathLst>
            </a:custGeom>
            <a:solidFill>
              <a:schemeClr val="accent6">
                <a:lumMod val="40000"/>
                <a:lumOff val="6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947A2E05-D4FB-423C-B74D-BC6BBC0DE15F}"/>
                </a:ext>
              </a:extLst>
            </xdr:cNvPr>
            <xdr:cNvGrpSpPr/>
          </xdr:nvGrpSpPr>
          <xdr:grpSpPr>
            <a:xfrm>
              <a:off x="5403378" y="11106286"/>
              <a:ext cx="1818139" cy="1667007"/>
              <a:chOff x="2824053" y="12555715"/>
              <a:chExt cx="1811426" cy="1636735"/>
            </a:xfrm>
          </xdr:grpSpPr>
          <xdr:sp macro="" textlink="">
            <xdr:nvSpPr>
              <xdr:cNvPr id="7" name="TextBox 6">
                <a:extLst>
                  <a:ext uri="{FF2B5EF4-FFF2-40B4-BE49-F238E27FC236}">
                    <a16:creationId xmlns:a16="http://schemas.microsoft.com/office/drawing/2014/main" id="{B34FEA3B-4A83-43D2-BBE9-578B4ABB08A9}"/>
                  </a:ext>
                </a:extLst>
              </xdr:cNvPr>
              <xdr:cNvSpPr txBox="1"/>
            </xdr:nvSpPr>
            <xdr:spPr>
              <a:xfrm>
                <a:off x="4048125" y="12767922"/>
                <a:ext cx="587354" cy="23582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ko-KR" sz="900"/>
                  <a:t>F</a:t>
                </a:r>
                <a:r>
                  <a:rPr lang="en-US" altLang="ko-KR" sz="900" baseline="-25000"/>
                  <a:t>forms</a:t>
                </a:r>
                <a:endParaRPr lang="en-US" sz="900" baseline="-25000"/>
              </a:p>
            </xdr:txBody>
          </xdr:sp>
          <xdr:grpSp>
            <xdr:nvGrpSpPr>
              <xdr:cNvPr id="8" name="Group 7">
                <a:extLst>
                  <a:ext uri="{FF2B5EF4-FFF2-40B4-BE49-F238E27FC236}">
                    <a16:creationId xmlns:a16="http://schemas.microsoft.com/office/drawing/2014/main" id="{D6189CE0-EAA4-4CBF-B69D-EC110BE1D2EF}"/>
                  </a:ext>
                </a:extLst>
              </xdr:cNvPr>
              <xdr:cNvGrpSpPr/>
            </xdr:nvGrpSpPr>
            <xdr:grpSpPr>
              <a:xfrm>
                <a:off x="2824053" y="12555715"/>
                <a:ext cx="1459379" cy="1636735"/>
                <a:chOff x="2824053" y="12840754"/>
                <a:chExt cx="1459379" cy="1675746"/>
              </a:xfrm>
            </xdr:grpSpPr>
            <xdr:grpSp>
              <xdr:nvGrpSpPr>
                <xdr:cNvPr id="9" name="그룹 168">
                  <a:extLst>
                    <a:ext uri="{FF2B5EF4-FFF2-40B4-BE49-F238E27FC236}">
                      <a16:creationId xmlns:a16="http://schemas.microsoft.com/office/drawing/2014/main" id="{FD7FAAD5-F7BC-4656-9342-2B869DA4F4B5}"/>
                    </a:ext>
                  </a:extLst>
                </xdr:cNvPr>
                <xdr:cNvGrpSpPr/>
              </xdr:nvGrpSpPr>
              <xdr:grpSpPr>
                <a:xfrm>
                  <a:off x="2824053" y="12840754"/>
                  <a:ext cx="1459379" cy="1675746"/>
                  <a:chOff x="4829506" y="6053432"/>
                  <a:chExt cx="1459379" cy="1598219"/>
                </a:xfrm>
              </xdr:grpSpPr>
              <xdr:grpSp>
                <xdr:nvGrpSpPr>
                  <xdr:cNvPr id="13" name="그룹 75">
                    <a:extLst>
                      <a:ext uri="{FF2B5EF4-FFF2-40B4-BE49-F238E27FC236}">
                        <a16:creationId xmlns:a16="http://schemas.microsoft.com/office/drawing/2014/main" id="{6C13917C-8EB7-4B1E-81E0-1A8D7DCBD853}"/>
                      </a:ext>
                    </a:extLst>
                  </xdr:cNvPr>
                  <xdr:cNvGrpSpPr/>
                </xdr:nvGrpSpPr>
                <xdr:grpSpPr>
                  <a:xfrm>
                    <a:off x="4839016" y="6053432"/>
                    <a:ext cx="1260487" cy="1598219"/>
                    <a:chOff x="5030532" y="1143545"/>
                    <a:chExt cx="1263341" cy="1582315"/>
                  </a:xfrm>
                </xdr:grpSpPr>
                <xdr:sp macro="" textlink="">
                  <xdr:nvSpPr>
                    <xdr:cNvPr id="32" name="TextBox 31">
                      <a:extLst>
                        <a:ext uri="{FF2B5EF4-FFF2-40B4-BE49-F238E27FC236}">
                          <a16:creationId xmlns:a16="http://schemas.microsoft.com/office/drawing/2014/main" id="{F61F8849-EE96-4699-95BE-1E932652CB69}"/>
                        </a:ext>
                      </a:extLst>
                    </xdr:cNvPr>
                    <xdr:cNvSpPr txBox="1"/>
                  </xdr:nvSpPr>
                  <xdr:spPr>
                    <a:xfrm>
                      <a:off x="5553876" y="2502935"/>
                      <a:ext cx="739997" cy="222925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Bracket</a:t>
                      </a:r>
                      <a:endParaRPr lang="en-US" sz="900"/>
                    </a:p>
                  </xdr:txBody>
                </xdr:sp>
                <xdr:grpSp>
                  <xdr:nvGrpSpPr>
                    <xdr:cNvPr id="33" name="그룹 77">
                      <a:extLst>
                        <a:ext uri="{FF2B5EF4-FFF2-40B4-BE49-F238E27FC236}">
                          <a16:creationId xmlns:a16="http://schemas.microsoft.com/office/drawing/2014/main" id="{B25D33D2-57CE-4EB8-855F-B82401C0DA42}"/>
                        </a:ext>
                      </a:extLst>
                    </xdr:cNvPr>
                    <xdr:cNvGrpSpPr/>
                  </xdr:nvGrpSpPr>
                  <xdr:grpSpPr>
                    <a:xfrm>
                      <a:off x="5030532" y="1143545"/>
                      <a:ext cx="1236467" cy="1578507"/>
                      <a:chOff x="5019107" y="1152841"/>
                      <a:chExt cx="1233246" cy="1594372"/>
                    </a:xfrm>
                  </xdr:grpSpPr>
                  <xdr:grpSp>
                    <xdr:nvGrpSpPr>
                      <xdr:cNvPr id="34" name="그룹 78">
                        <a:extLst>
                          <a:ext uri="{FF2B5EF4-FFF2-40B4-BE49-F238E27FC236}">
                            <a16:creationId xmlns:a16="http://schemas.microsoft.com/office/drawing/2014/main" id="{3D58D090-01FC-4166-B515-001273E9DF35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019107" y="1152841"/>
                        <a:ext cx="1104144" cy="1594372"/>
                        <a:chOff x="5014983" y="1172949"/>
                        <a:chExt cx="1103104" cy="1628692"/>
                      </a:xfrm>
                    </xdr:grpSpPr>
                    <xdr:grpSp>
                      <xdr:nvGrpSpPr>
                        <xdr:cNvPr id="42" name="그룹 117">
                          <a:extLst>
                            <a:ext uri="{FF2B5EF4-FFF2-40B4-BE49-F238E27FC236}">
                              <a16:creationId xmlns:a16="http://schemas.microsoft.com/office/drawing/2014/main" id="{2B1F1847-4E03-4483-9FF7-5DD847987E4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5014983" y="1716932"/>
                          <a:ext cx="857016" cy="1084709"/>
                          <a:chOff x="5268953" y="313952"/>
                          <a:chExt cx="745542" cy="1069110"/>
                        </a:xfrm>
                      </xdr:grpSpPr>
                      <xdr:grpSp>
                        <xdr:nvGrpSpPr>
                          <xdr:cNvPr id="45" name="그룹 124">
                            <a:extLst>
                              <a:ext uri="{FF2B5EF4-FFF2-40B4-BE49-F238E27FC236}">
                                <a16:creationId xmlns:a16="http://schemas.microsoft.com/office/drawing/2014/main" id="{0CFE47B3-C9B8-4FE3-9601-245CBD530F1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268953" y="334363"/>
                            <a:ext cx="596578" cy="1048699"/>
                            <a:chOff x="3797063" y="399805"/>
                            <a:chExt cx="597076" cy="1042482"/>
                          </a:xfrm>
                        </xdr:grpSpPr>
                        <xdr:cxnSp macro="">
                          <xdr:nvCxnSpPr>
                            <xdr:cNvPr id="47" name="직선 연결선 137">
                              <a:extLst>
                                <a:ext uri="{FF2B5EF4-FFF2-40B4-BE49-F238E27FC236}">
                                  <a16:creationId xmlns:a16="http://schemas.microsoft.com/office/drawing/2014/main" id="{C37EB6F1-71BC-4821-B557-ACE7BED4E1CB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3797063" y="1442287"/>
                              <a:ext cx="521564" cy="0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8" name="직선 연결선 139">
                              <a:extLst>
                                <a:ext uri="{FF2B5EF4-FFF2-40B4-BE49-F238E27FC236}">
                                  <a16:creationId xmlns:a16="http://schemas.microsoft.com/office/drawing/2014/main" id="{14F9978B-F8B1-49C1-9A4A-7C81AA74F8AA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V="1">
                              <a:off x="4166565" y="399805"/>
                              <a:ext cx="227574" cy="1036150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cxnSp macro="">
                        <xdr:nvCxnSpPr>
                          <xdr:cNvPr id="46" name="직선 연결선 123">
                            <a:extLst>
                              <a:ext uri="{FF2B5EF4-FFF2-40B4-BE49-F238E27FC236}">
                                <a16:creationId xmlns:a16="http://schemas.microsoft.com/office/drawing/2014/main" id="{A5919699-8242-4FED-B651-2937C53BB24A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5651145" y="313952"/>
                            <a:ext cx="363350" cy="0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43" name="직선 화살표 연결선 107">
                          <a:extLst>
                            <a:ext uri="{FF2B5EF4-FFF2-40B4-BE49-F238E27FC236}">
                              <a16:creationId xmlns:a16="http://schemas.microsoft.com/office/drawing/2014/main" id="{5E267DB4-93BF-4D1D-BAAB-32EEA68DB8B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026018" y="1239453"/>
                          <a:ext cx="0" cy="364057"/>
                        </a:xfrm>
                        <a:prstGeom prst="straightConnector1">
                          <a:avLst/>
                        </a:prstGeom>
                        <a:ln w="28575">
                          <a:solidFill>
                            <a:srgbClr val="FF0000"/>
                          </a:solidFill>
                          <a:tailEnd type="arrow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44" name="TextBox 43">
                          <a:extLst>
                            <a:ext uri="{FF2B5EF4-FFF2-40B4-BE49-F238E27FC236}">
                              <a16:creationId xmlns:a16="http://schemas.microsoft.com/office/drawing/2014/main" id="{DA06CF4A-FE92-429E-A356-7425D28F531F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470545" y="1172949"/>
                          <a:ext cx="647542" cy="234294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F</a:t>
                          </a:r>
                          <a:r>
                            <a:rPr lang="en-US" altLang="ko-KR" sz="900" baseline="-25000"/>
                            <a:t>wet con'c</a:t>
                          </a:r>
                          <a:endParaRPr lang="en-US" sz="900" baseline="-25000"/>
                        </a:p>
                      </xdr:txBody>
                    </xdr:sp>
                  </xdr:grpSp>
                  <xdr:grpSp>
                    <xdr:nvGrpSpPr>
                      <xdr:cNvPr id="35" name="그룹 79">
                        <a:extLst>
                          <a:ext uri="{FF2B5EF4-FFF2-40B4-BE49-F238E27FC236}">
                            <a16:creationId xmlns:a16="http://schemas.microsoft.com/office/drawing/2014/main" id="{D0AD3C46-5BED-46AF-ABE1-A254C96CF52D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481638" y="1588294"/>
                        <a:ext cx="770715" cy="1126331"/>
                        <a:chOff x="5481638" y="1588294"/>
                        <a:chExt cx="770715" cy="1126331"/>
                      </a:xfrm>
                    </xdr:grpSpPr>
                    <xdr:grpSp>
                      <xdr:nvGrpSpPr>
                        <xdr:cNvPr id="36" name="그룹 94">
                          <a:extLst>
                            <a:ext uri="{FF2B5EF4-FFF2-40B4-BE49-F238E27FC236}">
                              <a16:creationId xmlns:a16="http://schemas.microsoft.com/office/drawing/2014/main" id="{FB186B1D-FB08-427D-A4E2-C8624732133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5481638" y="1628569"/>
                          <a:ext cx="770715" cy="1086056"/>
                          <a:chOff x="5481638" y="1628569"/>
                          <a:chExt cx="770715" cy="1086056"/>
                        </a:xfrm>
                      </xdr:grpSpPr>
                      <xdr:cxnSp macro="">
                        <xdr:nvCxnSpPr>
                          <xdr:cNvPr id="39" name="직선 연결선 103">
                            <a:extLst>
                              <a:ext uri="{FF2B5EF4-FFF2-40B4-BE49-F238E27FC236}">
                                <a16:creationId xmlns:a16="http://schemas.microsoft.com/office/drawing/2014/main" id="{A2078295-8A4B-4C56-928E-83B386EFA783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5733315" y="1726834"/>
                            <a:ext cx="514350" cy="0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50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40" name="직선 연결선 104">
                            <a:extLst>
                              <a:ext uri="{FF2B5EF4-FFF2-40B4-BE49-F238E27FC236}">
                                <a16:creationId xmlns:a16="http://schemas.microsoft.com/office/drawing/2014/main" id="{D9EFF6FF-51AD-4FE7-B501-BCA767CF4A3E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481638" y="1716280"/>
                            <a:ext cx="770715" cy="998345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50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41" name="자유형 105">
                            <a:extLst>
                              <a:ext uri="{FF2B5EF4-FFF2-40B4-BE49-F238E27FC236}">
                                <a16:creationId xmlns:a16="http://schemas.microsoft.com/office/drawing/2014/main" id="{96F83F21-6D8E-409B-9AFB-30CF6180D1D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5869782" y="1628569"/>
                            <a:ext cx="381000" cy="82531"/>
                          </a:xfrm>
                          <a:custGeom>
                            <a:avLst/>
                            <a:gdLst>
                              <a:gd name="connsiteX0" fmla="*/ 78581 w 381000"/>
                              <a:gd name="connsiteY0" fmla="*/ 0 h 88107"/>
                              <a:gd name="connsiteX1" fmla="*/ 381000 w 381000"/>
                              <a:gd name="connsiteY1" fmla="*/ 0 h 88107"/>
                              <a:gd name="connsiteX2" fmla="*/ 381000 w 381000"/>
                              <a:gd name="connsiteY2" fmla="*/ 88107 h 88107"/>
                              <a:gd name="connsiteX3" fmla="*/ 0 w 381000"/>
                              <a:gd name="connsiteY3" fmla="*/ 88107 h 88107"/>
                              <a:gd name="connsiteX4" fmla="*/ 78581 w 381000"/>
                              <a:gd name="connsiteY4" fmla="*/ 0 h 88107"/>
                            </a:gdLst>
                            <a:ahLst/>
                            <a:cxnLst>
                              <a:cxn ang="0">
                                <a:pos x="connsiteX0" y="connsiteY0"/>
                              </a:cxn>
                              <a:cxn ang="0">
                                <a:pos x="connsiteX1" y="connsiteY1"/>
                              </a:cxn>
                              <a:cxn ang="0">
                                <a:pos x="connsiteX2" y="connsiteY2"/>
                              </a:cxn>
                              <a:cxn ang="0">
                                <a:pos x="connsiteX3" y="connsiteY3"/>
                              </a:cxn>
                              <a:cxn ang="0">
                                <a:pos x="connsiteX4" y="connsiteY4"/>
                              </a:cxn>
                            </a:cxnLst>
                            <a:rect l="l" t="t" r="r" b="b"/>
                            <a:pathLst>
                              <a:path w="381000" h="88107">
                                <a:moveTo>
                                  <a:pt x="78581" y="0"/>
                                </a:moveTo>
                                <a:lnTo>
                                  <a:pt x="381000" y="0"/>
                                </a:lnTo>
                                <a:lnTo>
                                  <a:pt x="381000" y="88107"/>
                                </a:lnTo>
                                <a:lnTo>
                                  <a:pt x="0" y="88107"/>
                                </a:lnTo>
                                <a:lnTo>
                                  <a:pt x="78581" y="0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n w="3175">
                            <a:solidFill>
                              <a:schemeClr val="accent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en-US" sz="1100"/>
                          </a:p>
                        </xdr:txBody>
                      </xdr:sp>
                    </xdr:grpSp>
                    <xdr:sp macro="" textlink="">
                      <xdr:nvSpPr>
                        <xdr:cNvPr id="37" name="원호 95">
                          <a:extLst>
                            <a:ext uri="{FF2B5EF4-FFF2-40B4-BE49-F238E27FC236}">
                              <a16:creationId xmlns:a16="http://schemas.microsoft.com/office/drawing/2014/main" id="{E686D267-0C6C-4F19-ADB4-8BEE3C08A5C0}"/>
                            </a:ext>
                          </a:extLst>
                        </xdr:cNvPr>
                        <xdr:cNvSpPr/>
                      </xdr:nvSpPr>
                      <xdr:spPr>
                        <a:xfrm rot="11444375">
                          <a:off x="5995988" y="1588294"/>
                          <a:ext cx="250031" cy="326232"/>
                        </a:xfrm>
                        <a:prstGeom prst="arc">
                          <a:avLst/>
                        </a:prstGeom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en-US" sz="1100"/>
                        </a:p>
                      </xdr:txBody>
                    </xdr:sp>
                    <xdr:sp macro="" textlink="">
                      <xdr:nvSpPr>
                        <xdr:cNvPr id="38" name="TextBox 37">
                          <a:extLst>
                            <a:ext uri="{FF2B5EF4-FFF2-40B4-BE49-F238E27FC236}">
                              <a16:creationId xmlns:a16="http://schemas.microsoft.com/office/drawing/2014/main" id="{4AF07CFE-C878-48F8-81E7-6AFCD18C6EF4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780117" y="1763467"/>
                          <a:ext cx="240508" cy="20032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>
                              <a:sym typeface="Symbol"/>
                            </a:rPr>
                            <a:t></a:t>
                          </a:r>
                          <a:endParaRPr lang="en-US" sz="900"/>
                        </a:p>
                      </xdr:txBody>
                    </xdr:sp>
                  </xdr:grpSp>
                </xdr:grpSp>
              </xdr:grpSp>
              <xdr:cxnSp macro="">
                <xdr:nvCxnSpPr>
                  <xdr:cNvPr id="14" name="직선 화살표 연결선 150">
                    <a:extLst>
                      <a:ext uri="{FF2B5EF4-FFF2-40B4-BE49-F238E27FC236}">
                        <a16:creationId xmlns:a16="http://schemas.microsoft.com/office/drawing/2014/main" id="{959C0C26-07DD-4EFF-A481-477C991E9239}"/>
                      </a:ext>
                    </a:extLst>
                  </xdr:cNvPr>
                  <xdr:cNvCxnSpPr/>
                </xdr:nvCxnSpPr>
                <xdr:spPr>
                  <a:xfrm>
                    <a:off x="6072615" y="6131881"/>
                    <a:ext cx="0" cy="405884"/>
                  </a:xfrm>
                  <a:prstGeom prst="straightConnector1">
                    <a:avLst/>
                  </a:prstGeom>
                  <a:ln w="28575">
                    <a:solidFill>
                      <a:srgbClr val="FF0000"/>
                    </a:solidFill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15" name="그룹 167">
                    <a:extLst>
                      <a:ext uri="{FF2B5EF4-FFF2-40B4-BE49-F238E27FC236}">
                        <a16:creationId xmlns:a16="http://schemas.microsoft.com/office/drawing/2014/main" id="{BF4E8934-BD98-405E-AE99-7DFFF902711E}"/>
                      </a:ext>
                    </a:extLst>
                  </xdr:cNvPr>
                  <xdr:cNvGrpSpPr/>
                </xdr:nvGrpSpPr>
                <xdr:grpSpPr>
                  <a:xfrm>
                    <a:off x="4829506" y="6603321"/>
                    <a:ext cx="1459379" cy="812501"/>
                    <a:chOff x="4829506" y="6603321"/>
                    <a:chExt cx="1459379" cy="812501"/>
                  </a:xfrm>
                </xdr:grpSpPr>
                <xdr:sp macro="" textlink="">
                  <xdr:nvSpPr>
                    <xdr:cNvPr id="16" name="TextBox 15">
                      <a:extLst>
                        <a:ext uri="{FF2B5EF4-FFF2-40B4-BE49-F238E27FC236}">
                          <a16:creationId xmlns:a16="http://schemas.microsoft.com/office/drawing/2014/main" id="{E4B3BBFD-99F2-419D-A5A0-FA54C33798E2}"/>
                        </a:ext>
                      </a:extLst>
                    </xdr:cNvPr>
                    <xdr:cNvSpPr txBox="1"/>
                  </xdr:nvSpPr>
                  <xdr:spPr>
                    <a:xfrm>
                      <a:off x="5017707" y="6603321"/>
                      <a:ext cx="359139" cy="22516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V</a:t>
                      </a:r>
                      <a:endParaRPr lang="en-US" sz="900"/>
                    </a:p>
                  </xdr:txBody>
                </xdr:sp>
                <xdr:grpSp>
                  <xdr:nvGrpSpPr>
                    <xdr:cNvPr id="17" name="그룹 166">
                      <a:extLst>
                        <a:ext uri="{FF2B5EF4-FFF2-40B4-BE49-F238E27FC236}">
                          <a16:creationId xmlns:a16="http://schemas.microsoft.com/office/drawing/2014/main" id="{A1319D83-DABE-49EE-BCDC-023ABFC5D871}"/>
                        </a:ext>
                      </a:extLst>
                    </xdr:cNvPr>
                    <xdr:cNvGrpSpPr/>
                  </xdr:nvGrpSpPr>
                  <xdr:grpSpPr>
                    <a:xfrm>
                      <a:off x="4829506" y="6708622"/>
                      <a:ext cx="1459379" cy="707200"/>
                      <a:chOff x="4829506" y="6708622"/>
                      <a:chExt cx="1459379" cy="707200"/>
                    </a:xfrm>
                  </xdr:grpSpPr>
                  <xdr:grpSp>
                    <xdr:nvGrpSpPr>
                      <xdr:cNvPr id="18" name="그룹 63">
                        <a:extLst>
                          <a:ext uri="{FF2B5EF4-FFF2-40B4-BE49-F238E27FC236}">
                            <a16:creationId xmlns:a16="http://schemas.microsoft.com/office/drawing/2014/main" id="{8B73EFD1-34FF-42C7-BC32-D77A2196BA0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079204" y="6708622"/>
                        <a:ext cx="255599" cy="413813"/>
                        <a:chOff x="4867273" y="6713385"/>
                        <a:chExt cx="255599" cy="413813"/>
                      </a:xfrm>
                    </xdr:grpSpPr>
                    <xdr:cxnSp macro="">
                      <xdr:nvCxnSpPr>
                        <xdr:cNvPr id="27" name="직선 화살표 연결선 147">
                          <a:extLst>
                            <a:ext uri="{FF2B5EF4-FFF2-40B4-BE49-F238E27FC236}">
                              <a16:creationId xmlns:a16="http://schemas.microsoft.com/office/drawing/2014/main" id="{FF6A6361-B4B2-43AF-976F-4D045FFB2577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5010955" y="6724766"/>
                          <a:ext cx="111917" cy="402432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headEnd w="sm" len="sm"/>
                          <a:tailEnd type="triangle" w="med" len="med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8" name="직선 화살표 연결선 33">
                          <a:extLst>
                            <a:ext uri="{FF2B5EF4-FFF2-40B4-BE49-F238E27FC236}">
                              <a16:creationId xmlns:a16="http://schemas.microsoft.com/office/drawing/2014/main" id="{AF6CB0E3-352E-440B-97C4-15B3AB2BC6F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67273" y="7120574"/>
                          <a:ext cx="145257" cy="0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tailEnd type="triangl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9" name="직선 연결선 55">
                          <a:extLst>
                            <a:ext uri="{FF2B5EF4-FFF2-40B4-BE49-F238E27FC236}">
                              <a16:creationId xmlns:a16="http://schemas.microsoft.com/office/drawing/2014/main" id="{2BCDF8DD-3397-44FD-A197-D2FC0930BEA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997848" y="6718147"/>
                          <a:ext cx="112712" cy="0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0" name="직선 연결선 58">
                          <a:extLst>
                            <a:ext uri="{FF2B5EF4-FFF2-40B4-BE49-F238E27FC236}">
                              <a16:creationId xmlns:a16="http://schemas.microsoft.com/office/drawing/2014/main" id="{3788FA52-529B-482C-860A-09D8695203A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995862" y="6713385"/>
                          <a:ext cx="0" cy="402431"/>
                        </a:xfrm>
                        <a:prstGeom prst="line">
                          <a:avLst/>
                        </a:prstGeom>
                        <a:ln>
                          <a:prstDash val="sysDot"/>
                          <a:tailEnd type="non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1" name="직선 연결선 60">
                          <a:extLst>
                            <a:ext uri="{FF2B5EF4-FFF2-40B4-BE49-F238E27FC236}">
                              <a16:creationId xmlns:a16="http://schemas.microsoft.com/office/drawing/2014/main" id="{FE535BA1-DD74-4E75-A23E-5D7EF5E8ED88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876811" y="6725292"/>
                          <a:ext cx="116670" cy="388145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19" name="TextBox 18">
                        <a:extLst>
                          <a:ext uri="{FF2B5EF4-FFF2-40B4-BE49-F238E27FC236}">
                            <a16:creationId xmlns:a16="http://schemas.microsoft.com/office/drawing/2014/main" id="{312C00B4-CA60-41EB-B32D-71D21FE8F79D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829506" y="6988495"/>
                        <a:ext cx="359139" cy="22516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V</a:t>
                        </a:r>
                        <a:r>
                          <a:rPr lang="en-US" altLang="ko-KR" sz="900" baseline="-25000"/>
                          <a:t>h</a:t>
                        </a:r>
                        <a:endParaRPr lang="en-US" sz="900" baseline="-25000"/>
                      </a:p>
                    </xdr:txBody>
                  </xdr:sp>
                  <xdr:grpSp>
                    <xdr:nvGrpSpPr>
                      <xdr:cNvPr id="20" name="그룹 162">
                        <a:extLst>
                          <a:ext uri="{FF2B5EF4-FFF2-40B4-BE49-F238E27FC236}">
                            <a16:creationId xmlns:a16="http://schemas.microsoft.com/office/drawing/2014/main" id="{C7280DCF-1436-4F42-9E57-33C5E84443D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672138" y="6838956"/>
                        <a:ext cx="616747" cy="414338"/>
                        <a:chOff x="5710234" y="6898481"/>
                        <a:chExt cx="616747" cy="414338"/>
                      </a:xfrm>
                    </xdr:grpSpPr>
                    <xdr:cxnSp macro="">
                      <xdr:nvCxnSpPr>
                        <xdr:cNvPr id="22" name="직선 화살표 연결선 68">
                          <a:extLst>
                            <a:ext uri="{FF2B5EF4-FFF2-40B4-BE49-F238E27FC236}">
                              <a16:creationId xmlns:a16="http://schemas.microsoft.com/office/drawing/2014/main" id="{DB9462D4-A8AF-49CB-93F4-F0928ACE083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710234" y="7310437"/>
                          <a:ext cx="319090" cy="0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tailEnd type="triangl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3" name="직선 연결선 71">
                          <a:extLst>
                            <a:ext uri="{FF2B5EF4-FFF2-40B4-BE49-F238E27FC236}">
                              <a16:creationId xmlns:a16="http://schemas.microsoft.com/office/drawing/2014/main" id="{388C736E-750A-4BC2-AB09-E880E001CE8F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5710234" y="6900863"/>
                          <a:ext cx="309566" cy="407187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4" name="직선 화살표 연결선 156">
                          <a:extLst>
                            <a:ext uri="{FF2B5EF4-FFF2-40B4-BE49-F238E27FC236}">
                              <a16:creationId xmlns:a16="http://schemas.microsoft.com/office/drawing/2014/main" id="{1506BB11-7CC5-4745-9C9D-542355C056BC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6022181" y="6898481"/>
                          <a:ext cx="298915" cy="414338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tailEnd type="triangl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5" name="직선 연결선 158">
                          <a:extLst>
                            <a:ext uri="{FF2B5EF4-FFF2-40B4-BE49-F238E27FC236}">
                              <a16:creationId xmlns:a16="http://schemas.microsoft.com/office/drawing/2014/main" id="{27156166-E673-47FC-A822-238BD167CE4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029325" y="6900863"/>
                          <a:ext cx="297656" cy="0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6" name="직선 연결선 161">
                          <a:extLst>
                            <a:ext uri="{FF2B5EF4-FFF2-40B4-BE49-F238E27FC236}">
                              <a16:creationId xmlns:a16="http://schemas.microsoft.com/office/drawing/2014/main" id="{1656F803-6DB9-4575-986A-25B37CCABBE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024563" y="6898481"/>
                          <a:ext cx="0" cy="411957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TextBox 20">
                        <a:extLst>
                          <a:ext uri="{FF2B5EF4-FFF2-40B4-BE49-F238E27FC236}">
                            <a16:creationId xmlns:a16="http://schemas.microsoft.com/office/drawing/2014/main" id="{F3284632-2D0E-4877-B2AF-2A38C2FD01A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632280" y="7259033"/>
                        <a:ext cx="437192" cy="15678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F</a:t>
                        </a:r>
                        <a:r>
                          <a:rPr lang="en-US" altLang="ko-KR" sz="900" baseline="-25000"/>
                          <a:t>h</a:t>
                        </a:r>
                        <a:endParaRPr lang="en-US" sz="900" baseline="-25000"/>
                      </a:p>
                    </xdr:txBody>
                  </xdr:sp>
                </xdr:grpSp>
              </xdr:grpSp>
            </xdr:grpSp>
            <xdr:cxnSp macro="">
              <xdr:nvCxnSpPr>
                <xdr:cNvPr id="10" name="직선 연결선 58">
                  <a:extLst>
                    <a:ext uri="{FF2B5EF4-FFF2-40B4-BE49-F238E27FC236}">
                      <a16:creationId xmlns:a16="http://schemas.microsoft.com/office/drawing/2014/main" id="{C63E79C8-331B-4A71-81EC-2895626772FA}"/>
                    </a:ext>
                  </a:extLst>
                </xdr:cNvPr>
                <xdr:cNvCxnSpPr/>
              </xdr:nvCxnSpPr>
              <xdr:spPr>
                <a:xfrm>
                  <a:off x="3233790" y="14073864"/>
                  <a:ext cx="0" cy="421952"/>
                </a:xfrm>
                <a:prstGeom prst="line">
                  <a:avLst/>
                </a:prstGeom>
                <a:ln>
                  <a:prstDash val="sysDot"/>
                  <a:tailEnd type="non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1" name="원호 95">
                  <a:extLst>
                    <a:ext uri="{FF2B5EF4-FFF2-40B4-BE49-F238E27FC236}">
                      <a16:creationId xmlns:a16="http://schemas.microsoft.com/office/drawing/2014/main" id="{43ED9DBE-F653-4E76-B24A-640E52135817}"/>
                    </a:ext>
                  </a:extLst>
                </xdr:cNvPr>
                <xdr:cNvSpPr/>
              </xdr:nvSpPr>
              <xdr:spPr>
                <a:xfrm rot="20183720">
                  <a:off x="3176790" y="14180035"/>
                  <a:ext cx="250118" cy="325667"/>
                </a:xfrm>
                <a:prstGeom prst="arc">
                  <a:avLst>
                    <a:gd name="adj1" fmla="val 16200000"/>
                    <a:gd name="adj2" fmla="val 18250166"/>
                  </a:avLst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2" name="TextBox 11">
                  <a:extLst>
                    <a:ext uri="{FF2B5EF4-FFF2-40B4-BE49-F238E27FC236}">
                      <a16:creationId xmlns:a16="http://schemas.microsoft.com/office/drawing/2014/main" id="{11019D51-C595-491C-AA3C-683036C307D7}"/>
                    </a:ext>
                  </a:extLst>
                </xdr:cNvPr>
                <xdr:cNvSpPr txBox="1"/>
              </xdr:nvSpPr>
              <xdr:spPr>
                <a:xfrm>
                  <a:off x="3139424" y="13978180"/>
                  <a:ext cx="359139" cy="23608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l-GR" altLang="ko-KR" sz="900">
                      <a:ea typeface="맑은 고딕" panose="020B0503020000020004" pitchFamily="50" charset="-127"/>
                    </a:rPr>
                    <a:t>θ</a:t>
                  </a:r>
                  <a:endParaRPr lang="en-US" sz="900"/>
                </a:p>
              </xdr:txBody>
            </xdr:sp>
          </xdr:grpSp>
        </xdr:grpSp>
      </xdr:grpSp>
    </xdr:grpSp>
    <xdr:clientData/>
  </xdr:twoCellAnchor>
  <xdr:twoCellAnchor>
    <xdr:from>
      <xdr:col>2</xdr:col>
      <xdr:colOff>309537</xdr:colOff>
      <xdr:row>52</xdr:row>
      <xdr:rowOff>162652</xdr:rowOff>
    </xdr:from>
    <xdr:to>
      <xdr:col>8</xdr:col>
      <xdr:colOff>4604</xdr:colOff>
      <xdr:row>61</xdr:row>
      <xdr:rowOff>171514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2719619F-75D3-4A18-A593-24F273710151}"/>
            </a:ext>
          </a:extLst>
        </xdr:cNvPr>
        <xdr:cNvGrpSpPr/>
      </xdr:nvGrpSpPr>
      <xdr:grpSpPr>
        <a:xfrm>
          <a:off x="1185837" y="10297252"/>
          <a:ext cx="2323967" cy="1723362"/>
          <a:chOff x="970564" y="11686932"/>
          <a:chExt cx="2578985" cy="1723860"/>
        </a:xfrm>
      </xdr:grpSpPr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42A3FB9C-D732-4161-BEE7-C1A9B0A30A69}"/>
              </a:ext>
            </a:extLst>
          </xdr:cNvPr>
          <xdr:cNvGrpSpPr/>
        </xdr:nvGrpSpPr>
        <xdr:grpSpPr>
          <a:xfrm>
            <a:off x="970564" y="11686932"/>
            <a:ext cx="2578985" cy="1723860"/>
            <a:chOff x="1065826" y="10766266"/>
            <a:chExt cx="2977806" cy="2118679"/>
          </a:xfrm>
        </xdr:grpSpPr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A6A5840A-DFCC-460B-AAC8-195F6E76AD7C}"/>
                </a:ext>
              </a:extLst>
            </xdr:cNvPr>
            <xdr:cNvCxnSpPr/>
          </xdr:nvCxnSpPr>
          <xdr:spPr>
            <a:xfrm>
              <a:off x="3731281" y="12288354"/>
              <a:ext cx="0" cy="20274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63" name="Group 62">
              <a:extLst>
                <a:ext uri="{FF2B5EF4-FFF2-40B4-BE49-F238E27FC236}">
                  <a16:creationId xmlns:a16="http://schemas.microsoft.com/office/drawing/2014/main" id="{DAAE453A-6EC2-4027-B50C-20323054CFC0}"/>
                </a:ext>
              </a:extLst>
            </xdr:cNvPr>
            <xdr:cNvGrpSpPr/>
          </xdr:nvGrpSpPr>
          <xdr:grpSpPr>
            <a:xfrm>
              <a:off x="1065826" y="10766266"/>
              <a:ext cx="2977806" cy="2118679"/>
              <a:chOff x="1083798" y="10593550"/>
              <a:chExt cx="3031721" cy="2080779"/>
            </a:xfrm>
          </xdr:grpSpPr>
          <xdr:cxnSp macro="">
            <xdr:nvCxnSpPr>
              <xdr:cNvPr id="64" name="Straight Connector 63">
                <a:extLst>
                  <a:ext uri="{FF2B5EF4-FFF2-40B4-BE49-F238E27FC236}">
                    <a16:creationId xmlns:a16="http://schemas.microsoft.com/office/drawing/2014/main" id="{EC1C96BD-BBA8-4D68-95DF-57D4EB3E69A6}"/>
                  </a:ext>
                </a:extLst>
              </xdr:cNvPr>
              <xdr:cNvCxnSpPr/>
            </xdr:nvCxnSpPr>
            <xdr:spPr>
              <a:xfrm>
                <a:off x="1628890" y="12075141"/>
                <a:ext cx="0" cy="19952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5" name="Straight Connector 64">
                <a:extLst>
                  <a:ext uri="{FF2B5EF4-FFF2-40B4-BE49-F238E27FC236}">
                    <a16:creationId xmlns:a16="http://schemas.microsoft.com/office/drawing/2014/main" id="{B4784B41-5784-4983-BC59-CD4BE728DDFB}"/>
                  </a:ext>
                </a:extLst>
              </xdr:cNvPr>
              <xdr:cNvCxnSpPr/>
            </xdr:nvCxnSpPr>
            <xdr:spPr>
              <a:xfrm>
                <a:off x="2712262" y="12083259"/>
                <a:ext cx="0" cy="19952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66" name="Group 65">
                <a:extLst>
                  <a:ext uri="{FF2B5EF4-FFF2-40B4-BE49-F238E27FC236}">
                    <a16:creationId xmlns:a16="http://schemas.microsoft.com/office/drawing/2014/main" id="{84318446-3E86-405B-A1E1-FBB9FCB4BB4F}"/>
                  </a:ext>
                </a:extLst>
              </xdr:cNvPr>
              <xdr:cNvGrpSpPr/>
            </xdr:nvGrpSpPr>
            <xdr:grpSpPr>
              <a:xfrm>
                <a:off x="1083798" y="10593550"/>
                <a:ext cx="3031721" cy="2080779"/>
                <a:chOff x="1083798" y="10593550"/>
                <a:chExt cx="3031721" cy="2080779"/>
              </a:xfrm>
            </xdr:grpSpPr>
            <xdr:grpSp>
              <xdr:nvGrpSpPr>
                <xdr:cNvPr id="67" name="Group 66">
                  <a:extLst>
                    <a:ext uri="{FF2B5EF4-FFF2-40B4-BE49-F238E27FC236}">
                      <a16:creationId xmlns:a16="http://schemas.microsoft.com/office/drawing/2014/main" id="{C3BBAF81-6F12-4315-A3A0-D37A27DD49A3}"/>
                    </a:ext>
                  </a:extLst>
                </xdr:cNvPr>
                <xdr:cNvGrpSpPr/>
              </xdr:nvGrpSpPr>
              <xdr:grpSpPr>
                <a:xfrm>
                  <a:off x="1133916" y="10593550"/>
                  <a:ext cx="2903515" cy="423185"/>
                  <a:chOff x="1121850" y="10663805"/>
                  <a:chExt cx="2866025" cy="426328"/>
                </a:xfrm>
              </xdr:grpSpPr>
              <xdr:grpSp>
                <xdr:nvGrpSpPr>
                  <xdr:cNvPr id="99" name="Group 98">
                    <a:extLst>
                      <a:ext uri="{FF2B5EF4-FFF2-40B4-BE49-F238E27FC236}">
                        <a16:creationId xmlns:a16="http://schemas.microsoft.com/office/drawing/2014/main" id="{E3FD2737-36B6-4CB9-B96E-EB42CA03DFFB}"/>
                      </a:ext>
                    </a:extLst>
                  </xdr:cNvPr>
                  <xdr:cNvGrpSpPr/>
                </xdr:nvGrpSpPr>
                <xdr:grpSpPr>
                  <a:xfrm>
                    <a:off x="1121850" y="10860368"/>
                    <a:ext cx="2866025" cy="229765"/>
                    <a:chOff x="1084049" y="10957694"/>
                    <a:chExt cx="2849468" cy="229012"/>
                  </a:xfrm>
                </xdr:grpSpPr>
                <xdr:cxnSp macro="">
                  <xdr:nvCxnSpPr>
                    <xdr:cNvPr id="101" name="Straight Connector 100">
                      <a:extLst>
                        <a:ext uri="{FF2B5EF4-FFF2-40B4-BE49-F238E27FC236}">
                          <a16:creationId xmlns:a16="http://schemas.microsoft.com/office/drawing/2014/main" id="{DF7B59BD-7E2E-4228-B6E2-4E7BABA16E69}"/>
                        </a:ext>
                      </a:extLst>
                    </xdr:cNvPr>
                    <xdr:cNvCxnSpPr/>
                  </xdr:nvCxnSpPr>
                  <xdr:spPr>
                    <a:xfrm>
                      <a:off x="1091819" y="11179700"/>
                      <a:ext cx="2841698" cy="0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2" name="Straight Connector 101">
                      <a:extLst>
                        <a:ext uri="{FF2B5EF4-FFF2-40B4-BE49-F238E27FC236}">
                          <a16:creationId xmlns:a16="http://schemas.microsoft.com/office/drawing/2014/main" id="{D9A616E9-4FB0-494A-8642-C5F22AFDEBCC}"/>
                        </a:ext>
                      </a:extLst>
                    </xdr:cNvPr>
                    <xdr:cNvCxnSpPr/>
                  </xdr:nvCxnSpPr>
                  <xdr:spPr>
                    <a:xfrm flipV="1">
                      <a:off x="1095570" y="10957694"/>
                      <a:ext cx="0" cy="223593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3" name="Straight Connector 102">
                      <a:extLst>
                        <a:ext uri="{FF2B5EF4-FFF2-40B4-BE49-F238E27FC236}">
                          <a16:creationId xmlns:a16="http://schemas.microsoft.com/office/drawing/2014/main" id="{F6330CEF-B533-4DE2-A2EE-6BE6C20D7B68}"/>
                        </a:ext>
                      </a:extLst>
                    </xdr:cNvPr>
                    <xdr:cNvCxnSpPr/>
                  </xdr:nvCxnSpPr>
                  <xdr:spPr>
                    <a:xfrm flipV="1">
                      <a:off x="1378721" y="10967708"/>
                      <a:ext cx="0" cy="213580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4" name="Straight Connector 103">
                      <a:extLst>
                        <a:ext uri="{FF2B5EF4-FFF2-40B4-BE49-F238E27FC236}">
                          <a16:creationId xmlns:a16="http://schemas.microsoft.com/office/drawing/2014/main" id="{2FF43AE1-D440-4AF8-BA7B-977C2B45F0F2}"/>
                        </a:ext>
                      </a:extLst>
                    </xdr:cNvPr>
                    <xdr:cNvCxnSpPr/>
                  </xdr:nvCxnSpPr>
                  <xdr:spPr>
                    <a:xfrm>
                      <a:off x="1084049" y="10959875"/>
                      <a:ext cx="2841263" cy="0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5" name="Straight Connector 104">
                      <a:extLst>
                        <a:ext uri="{FF2B5EF4-FFF2-40B4-BE49-F238E27FC236}">
                          <a16:creationId xmlns:a16="http://schemas.microsoft.com/office/drawing/2014/main" id="{BBFA14EF-2B7A-43D5-820C-B4100237D5D6}"/>
                        </a:ext>
                      </a:extLst>
                    </xdr:cNvPr>
                    <xdr:cNvCxnSpPr/>
                  </xdr:nvCxnSpPr>
                  <xdr:spPr>
                    <a:xfrm flipV="1">
                      <a:off x="1662848" y="10967708"/>
                      <a:ext cx="0" cy="218992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6" name="Straight Connector 105">
                      <a:extLst>
                        <a:ext uri="{FF2B5EF4-FFF2-40B4-BE49-F238E27FC236}">
                          <a16:creationId xmlns:a16="http://schemas.microsoft.com/office/drawing/2014/main" id="{B55413B6-99C9-4C86-A35E-65D8AC74A4DB}"/>
                        </a:ext>
                      </a:extLst>
                    </xdr:cNvPr>
                    <xdr:cNvCxnSpPr/>
                  </xdr:nvCxnSpPr>
                  <xdr:spPr>
                    <a:xfrm flipV="1">
                      <a:off x="1945999" y="10961294"/>
                      <a:ext cx="0" cy="225406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7" name="Straight Connector 106">
                      <a:extLst>
                        <a:ext uri="{FF2B5EF4-FFF2-40B4-BE49-F238E27FC236}">
                          <a16:creationId xmlns:a16="http://schemas.microsoft.com/office/drawing/2014/main" id="{4012F454-1B85-4D24-B2B2-215271E2510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230126" y="10964500"/>
                      <a:ext cx="0" cy="219498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8" name="Straight Connector 107">
                      <a:extLst>
                        <a:ext uri="{FF2B5EF4-FFF2-40B4-BE49-F238E27FC236}">
                          <a16:creationId xmlns:a16="http://schemas.microsoft.com/office/drawing/2014/main" id="{B1A6988A-6170-4B7A-A365-88B87534A552}"/>
                        </a:ext>
                      </a:extLst>
                    </xdr:cNvPr>
                    <xdr:cNvCxnSpPr/>
                  </xdr:nvCxnSpPr>
                  <xdr:spPr>
                    <a:xfrm flipV="1">
                      <a:off x="2514254" y="10964500"/>
                      <a:ext cx="0" cy="222206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9" name="Straight Connector 108">
                      <a:extLst>
                        <a:ext uri="{FF2B5EF4-FFF2-40B4-BE49-F238E27FC236}">
                          <a16:creationId xmlns:a16="http://schemas.microsoft.com/office/drawing/2014/main" id="{1B842C47-5625-43B8-A95C-41D1AC62CE3B}"/>
                        </a:ext>
                      </a:extLst>
                    </xdr:cNvPr>
                    <xdr:cNvCxnSpPr/>
                  </xdr:nvCxnSpPr>
                  <xdr:spPr>
                    <a:xfrm flipV="1">
                      <a:off x="2797405" y="10964500"/>
                      <a:ext cx="0" cy="222204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10" name="Straight Connector 109">
                      <a:extLst>
                        <a:ext uri="{FF2B5EF4-FFF2-40B4-BE49-F238E27FC236}">
                          <a16:creationId xmlns:a16="http://schemas.microsoft.com/office/drawing/2014/main" id="{025E5C66-4488-43D7-8D62-EE331947529A}"/>
                        </a:ext>
                      </a:extLst>
                    </xdr:cNvPr>
                    <xdr:cNvCxnSpPr/>
                  </xdr:nvCxnSpPr>
                  <xdr:spPr>
                    <a:xfrm flipV="1">
                      <a:off x="3079801" y="10958086"/>
                      <a:ext cx="0" cy="220499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11" name="Straight Connector 110">
                      <a:extLst>
                        <a:ext uri="{FF2B5EF4-FFF2-40B4-BE49-F238E27FC236}">
                          <a16:creationId xmlns:a16="http://schemas.microsoft.com/office/drawing/2014/main" id="{AD018E4A-3362-4329-B62E-61060AF60935}"/>
                        </a:ext>
                      </a:extLst>
                    </xdr:cNvPr>
                    <xdr:cNvCxnSpPr/>
                  </xdr:nvCxnSpPr>
                  <xdr:spPr>
                    <a:xfrm flipV="1">
                      <a:off x="3363927" y="10961296"/>
                      <a:ext cx="0" cy="222702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12" name="Straight Connector 111">
                      <a:extLst>
                        <a:ext uri="{FF2B5EF4-FFF2-40B4-BE49-F238E27FC236}">
                          <a16:creationId xmlns:a16="http://schemas.microsoft.com/office/drawing/2014/main" id="{2BA7DDA6-BB53-4ADD-843E-639F670A4649}"/>
                        </a:ext>
                      </a:extLst>
                    </xdr:cNvPr>
                    <xdr:cNvCxnSpPr/>
                  </xdr:nvCxnSpPr>
                  <xdr:spPr>
                    <a:xfrm flipV="1">
                      <a:off x="3647079" y="10961296"/>
                      <a:ext cx="0" cy="222702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13" name="Straight Connector 112">
                      <a:extLst>
                        <a:ext uri="{FF2B5EF4-FFF2-40B4-BE49-F238E27FC236}">
                          <a16:creationId xmlns:a16="http://schemas.microsoft.com/office/drawing/2014/main" id="{468126D8-662F-400E-A3BF-24CCE995C9EE}"/>
                        </a:ext>
                      </a:extLst>
                    </xdr:cNvPr>
                    <xdr:cNvCxnSpPr/>
                  </xdr:nvCxnSpPr>
                  <xdr:spPr>
                    <a:xfrm flipV="1">
                      <a:off x="3931205" y="10958089"/>
                      <a:ext cx="0" cy="223207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100" name="TextBox 99">
                    <a:extLst>
                      <a:ext uri="{FF2B5EF4-FFF2-40B4-BE49-F238E27FC236}">
                        <a16:creationId xmlns:a16="http://schemas.microsoft.com/office/drawing/2014/main" id="{449AD5DF-23CD-44FB-9699-51CAC360C658}"/>
                      </a:ext>
                    </a:extLst>
                  </xdr:cNvPr>
                  <xdr:cNvSpPr txBox="1"/>
                </xdr:nvSpPr>
                <xdr:spPr>
                  <a:xfrm>
                    <a:off x="1569240" y="10663805"/>
                    <a:ext cx="2171309" cy="24827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Lateral uniformly</a:t>
                    </a:r>
                    <a:r>
                      <a:rPr lang="en-US" sz="900" baseline="0"/>
                      <a:t> distributed load w</a:t>
                    </a:r>
                    <a:endParaRPr lang="en-US" sz="900"/>
                  </a:p>
                </xdr:txBody>
              </xdr:sp>
            </xdr:grpSp>
            <xdr:grpSp>
              <xdr:nvGrpSpPr>
                <xdr:cNvPr id="68" name="Group 67">
                  <a:extLst>
                    <a:ext uri="{FF2B5EF4-FFF2-40B4-BE49-F238E27FC236}">
                      <a16:creationId xmlns:a16="http://schemas.microsoft.com/office/drawing/2014/main" id="{864F8D3A-695E-417F-AB06-63D4B362B33C}"/>
                    </a:ext>
                  </a:extLst>
                </xdr:cNvPr>
                <xdr:cNvGrpSpPr/>
              </xdr:nvGrpSpPr>
              <xdr:grpSpPr>
                <a:xfrm>
                  <a:off x="1115769" y="11879312"/>
                  <a:ext cx="2992135" cy="795017"/>
                  <a:chOff x="1115769" y="11879312"/>
                  <a:chExt cx="2992135" cy="795017"/>
                </a:xfrm>
              </xdr:grpSpPr>
              <xdr:grpSp>
                <xdr:nvGrpSpPr>
                  <xdr:cNvPr id="80" name="Group 79">
                    <a:extLst>
                      <a:ext uri="{FF2B5EF4-FFF2-40B4-BE49-F238E27FC236}">
                        <a16:creationId xmlns:a16="http://schemas.microsoft.com/office/drawing/2014/main" id="{DE755C98-2689-44B7-B67D-CDE3CDED1077}"/>
                      </a:ext>
                    </a:extLst>
                  </xdr:cNvPr>
                  <xdr:cNvGrpSpPr/>
                </xdr:nvGrpSpPr>
                <xdr:grpSpPr>
                  <a:xfrm>
                    <a:off x="1115769" y="12067645"/>
                    <a:ext cx="2992135" cy="606684"/>
                    <a:chOff x="1103303" y="12150040"/>
                    <a:chExt cx="2954737" cy="611670"/>
                  </a:xfrm>
                </xdr:grpSpPr>
                <xdr:grpSp>
                  <xdr:nvGrpSpPr>
                    <xdr:cNvPr id="83" name="Group 82">
                      <a:extLst>
                        <a:ext uri="{FF2B5EF4-FFF2-40B4-BE49-F238E27FC236}">
                          <a16:creationId xmlns:a16="http://schemas.microsoft.com/office/drawing/2014/main" id="{644411FE-8888-4060-BB03-99A2EDAC710E}"/>
                        </a:ext>
                      </a:extLst>
                    </xdr:cNvPr>
                    <xdr:cNvGrpSpPr/>
                  </xdr:nvGrpSpPr>
                  <xdr:grpSpPr>
                    <a:xfrm>
                      <a:off x="1124367" y="12150040"/>
                      <a:ext cx="2916423" cy="366862"/>
                      <a:chOff x="1118861" y="12117153"/>
                      <a:chExt cx="2899906" cy="365798"/>
                    </a:xfrm>
                  </xdr:grpSpPr>
                  <xdr:cxnSp macro="">
                    <xdr:nvCxnSpPr>
                      <xdr:cNvPr id="91" name="Straight Connector 90">
                        <a:extLst>
                          <a:ext uri="{FF2B5EF4-FFF2-40B4-BE49-F238E27FC236}">
                            <a16:creationId xmlns:a16="http://schemas.microsoft.com/office/drawing/2014/main" id="{5EE8F724-1B55-4964-9DA3-8C50339D7BC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36506" y="12318803"/>
                        <a:ext cx="2862912" cy="0"/>
                      </a:xfrm>
                      <a:prstGeom prst="line">
                        <a:avLst/>
                      </a:prstGeom>
                      <a:ln w="19050">
                        <a:solidFill>
                          <a:schemeClr val="tx2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92" name="Isosceles Triangle 91">
                        <a:extLst>
                          <a:ext uri="{FF2B5EF4-FFF2-40B4-BE49-F238E27FC236}">
                            <a16:creationId xmlns:a16="http://schemas.microsoft.com/office/drawing/2014/main" id="{1A469B9E-6C4D-4F9A-8748-D2D57D6910EA}"/>
                          </a:ext>
                        </a:extLst>
                      </xdr:cNvPr>
                      <xdr:cNvSpPr/>
                    </xdr:nvSpPr>
                    <xdr:spPr>
                      <a:xfrm>
                        <a:off x="1536989" y="12324504"/>
                        <a:ext cx="128696" cy="110944"/>
                      </a:xfrm>
                      <a:prstGeom prst="triangle">
                        <a:avLst/>
                      </a:prstGeom>
                      <a:solidFill>
                        <a:schemeClr val="accent6">
                          <a:lumMod val="50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93" name="Freeform 63">
                        <a:extLst>
                          <a:ext uri="{FF2B5EF4-FFF2-40B4-BE49-F238E27FC236}">
                            <a16:creationId xmlns:a16="http://schemas.microsoft.com/office/drawing/2014/main" id="{CD5BC945-FD8D-4934-8BD5-CA277467724B}"/>
                          </a:ext>
                        </a:extLst>
                      </xdr:cNvPr>
                      <xdr:cNvSpPr/>
                    </xdr:nvSpPr>
                    <xdr:spPr>
                      <a:xfrm>
                        <a:off x="1598373" y="12117153"/>
                        <a:ext cx="1063408" cy="356012"/>
                      </a:xfrm>
                      <a:custGeom>
                        <a:avLst/>
                        <a:gdLst>
                          <a:gd name="connsiteX0" fmla="*/ 0 w 1063408"/>
                          <a:gd name="connsiteY0" fmla="*/ 0 h 355568"/>
                          <a:gd name="connsiteX1" fmla="*/ 528442 w 1063408"/>
                          <a:gd name="connsiteY1" fmla="*/ 355557 h 355568"/>
                          <a:gd name="connsiteX2" fmla="*/ 1063408 w 1063408"/>
                          <a:gd name="connsiteY2" fmla="*/ 9786 h 355568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</a:cxnLst>
                        <a:rect l="l" t="t" r="r" b="b"/>
                        <a:pathLst>
                          <a:path w="1063408" h="355568">
                            <a:moveTo>
                              <a:pt x="0" y="0"/>
                            </a:moveTo>
                            <a:cubicBezTo>
                              <a:pt x="175603" y="176963"/>
                              <a:pt x="351207" y="353926"/>
                              <a:pt x="528442" y="355557"/>
                            </a:cubicBezTo>
                            <a:cubicBezTo>
                              <a:pt x="705677" y="357188"/>
                              <a:pt x="884542" y="183487"/>
                              <a:pt x="1063408" y="9786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94" name="Freeform 288">
                        <a:extLst>
                          <a:ext uri="{FF2B5EF4-FFF2-40B4-BE49-F238E27FC236}">
                            <a16:creationId xmlns:a16="http://schemas.microsoft.com/office/drawing/2014/main" id="{ACAB04E8-448F-4C2E-AC33-80A5132DEACD}"/>
                          </a:ext>
                        </a:extLst>
                      </xdr:cNvPr>
                      <xdr:cNvSpPr/>
                    </xdr:nvSpPr>
                    <xdr:spPr>
                      <a:xfrm>
                        <a:off x="2658518" y="12126939"/>
                        <a:ext cx="1076455" cy="356012"/>
                      </a:xfrm>
                      <a:custGeom>
                        <a:avLst/>
                        <a:gdLst>
                          <a:gd name="connsiteX0" fmla="*/ 0 w 1063408"/>
                          <a:gd name="connsiteY0" fmla="*/ 0 h 355568"/>
                          <a:gd name="connsiteX1" fmla="*/ 528442 w 1063408"/>
                          <a:gd name="connsiteY1" fmla="*/ 355557 h 355568"/>
                          <a:gd name="connsiteX2" fmla="*/ 1063408 w 1063408"/>
                          <a:gd name="connsiteY2" fmla="*/ 9786 h 355568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</a:cxnLst>
                        <a:rect l="l" t="t" r="r" b="b"/>
                        <a:pathLst>
                          <a:path w="1063408" h="355568">
                            <a:moveTo>
                              <a:pt x="0" y="0"/>
                            </a:moveTo>
                            <a:cubicBezTo>
                              <a:pt x="175603" y="176963"/>
                              <a:pt x="351207" y="353926"/>
                              <a:pt x="528442" y="355557"/>
                            </a:cubicBezTo>
                            <a:cubicBezTo>
                              <a:pt x="705677" y="357188"/>
                              <a:pt x="884542" y="183487"/>
                              <a:pt x="1063408" y="9786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95" name="Freeform 64">
                        <a:extLst>
                          <a:ext uri="{FF2B5EF4-FFF2-40B4-BE49-F238E27FC236}">
                            <a16:creationId xmlns:a16="http://schemas.microsoft.com/office/drawing/2014/main" id="{DF152E09-241A-4144-8952-B4BE282E853C}"/>
                          </a:ext>
                        </a:extLst>
                      </xdr:cNvPr>
                      <xdr:cNvSpPr/>
                    </xdr:nvSpPr>
                    <xdr:spPr>
                      <a:xfrm>
                        <a:off x="3725188" y="12130200"/>
                        <a:ext cx="293579" cy="267928"/>
                      </a:xfrm>
                      <a:custGeom>
                        <a:avLst/>
                        <a:gdLst>
                          <a:gd name="connsiteX0" fmla="*/ 0 w 293579"/>
                          <a:gd name="connsiteY0" fmla="*/ 0 h 267483"/>
                          <a:gd name="connsiteX1" fmla="*/ 172886 w 293579"/>
                          <a:gd name="connsiteY1" fmla="*/ 176147 h 267483"/>
                          <a:gd name="connsiteX2" fmla="*/ 293579 w 293579"/>
                          <a:gd name="connsiteY2" fmla="*/ 267483 h 267483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</a:cxnLst>
                        <a:rect l="l" t="t" r="r" b="b"/>
                        <a:pathLst>
                          <a:path w="293579" h="267483">
                            <a:moveTo>
                              <a:pt x="0" y="0"/>
                            </a:moveTo>
                            <a:cubicBezTo>
                              <a:pt x="61978" y="65783"/>
                              <a:pt x="123956" y="131567"/>
                              <a:pt x="172886" y="176147"/>
                            </a:cubicBezTo>
                            <a:cubicBezTo>
                              <a:pt x="221816" y="220728"/>
                              <a:pt x="262047" y="240300"/>
                              <a:pt x="293579" y="267483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96" name="Freeform 65">
                        <a:extLst>
                          <a:ext uri="{FF2B5EF4-FFF2-40B4-BE49-F238E27FC236}">
                            <a16:creationId xmlns:a16="http://schemas.microsoft.com/office/drawing/2014/main" id="{D6FC2216-DBA2-4872-B828-90C5992A19D5}"/>
                          </a:ext>
                        </a:extLst>
                      </xdr:cNvPr>
                      <xdr:cNvSpPr/>
                    </xdr:nvSpPr>
                    <xdr:spPr>
                      <a:xfrm>
                        <a:off x="1118861" y="12126939"/>
                        <a:ext cx="486036" cy="336430"/>
                      </a:xfrm>
                      <a:custGeom>
                        <a:avLst/>
                        <a:gdLst>
                          <a:gd name="connsiteX0" fmla="*/ 486036 w 486036"/>
                          <a:gd name="connsiteY0" fmla="*/ 0 h 335985"/>
                          <a:gd name="connsiteX1" fmla="*/ 306627 w 486036"/>
                          <a:gd name="connsiteY1" fmla="*/ 169623 h 335985"/>
                          <a:gd name="connsiteX2" fmla="*/ 166362 w 486036"/>
                          <a:gd name="connsiteY2" fmla="*/ 270745 h 335985"/>
                          <a:gd name="connsiteX3" fmla="*/ 65240 w 486036"/>
                          <a:gd name="connsiteY3" fmla="*/ 316413 h 335985"/>
                          <a:gd name="connsiteX4" fmla="*/ 0 w 486036"/>
                          <a:gd name="connsiteY4" fmla="*/ 335985 h 335985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486036" h="335985">
                            <a:moveTo>
                              <a:pt x="486036" y="0"/>
                            </a:moveTo>
                            <a:cubicBezTo>
                              <a:pt x="422971" y="62249"/>
                              <a:pt x="359906" y="124499"/>
                              <a:pt x="306627" y="169623"/>
                            </a:cubicBezTo>
                            <a:cubicBezTo>
                              <a:pt x="253348" y="214747"/>
                              <a:pt x="206593" y="246280"/>
                              <a:pt x="166362" y="270745"/>
                            </a:cubicBezTo>
                            <a:cubicBezTo>
                              <a:pt x="126131" y="295210"/>
                              <a:pt x="92967" y="305540"/>
                              <a:pt x="65240" y="316413"/>
                            </a:cubicBezTo>
                            <a:cubicBezTo>
                              <a:pt x="37513" y="327286"/>
                              <a:pt x="5437" y="326199"/>
                              <a:pt x="0" y="335985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97" name="Isosceles Triangle 96">
                        <a:extLst>
                          <a:ext uri="{FF2B5EF4-FFF2-40B4-BE49-F238E27FC236}">
                            <a16:creationId xmlns:a16="http://schemas.microsoft.com/office/drawing/2014/main" id="{080CC2B0-8EEA-4709-AE0B-D5CDA65107EE}"/>
                          </a:ext>
                        </a:extLst>
                      </xdr:cNvPr>
                      <xdr:cNvSpPr/>
                    </xdr:nvSpPr>
                    <xdr:spPr>
                      <a:xfrm>
                        <a:off x="2601781" y="12326004"/>
                        <a:ext cx="128696" cy="110944"/>
                      </a:xfrm>
                      <a:prstGeom prst="triangle">
                        <a:avLst/>
                      </a:prstGeom>
                      <a:solidFill>
                        <a:schemeClr val="accent6">
                          <a:lumMod val="50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98" name="Isosceles Triangle 97">
                        <a:extLst>
                          <a:ext uri="{FF2B5EF4-FFF2-40B4-BE49-F238E27FC236}">
                            <a16:creationId xmlns:a16="http://schemas.microsoft.com/office/drawing/2014/main" id="{9DA72B9D-302F-462C-A1AD-F3E22D92AE9A}"/>
                          </a:ext>
                        </a:extLst>
                      </xdr:cNvPr>
                      <xdr:cNvSpPr/>
                    </xdr:nvSpPr>
                    <xdr:spPr>
                      <a:xfrm>
                        <a:off x="3670638" y="12324504"/>
                        <a:ext cx="128696" cy="110944"/>
                      </a:xfrm>
                      <a:prstGeom prst="triangle">
                        <a:avLst/>
                      </a:prstGeom>
                      <a:solidFill>
                        <a:schemeClr val="accent6">
                          <a:lumMod val="50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</xdr:grpSp>
                <xdr:grpSp>
                  <xdr:nvGrpSpPr>
                    <xdr:cNvPr id="84" name="Group 83">
                      <a:extLst>
                        <a:ext uri="{FF2B5EF4-FFF2-40B4-BE49-F238E27FC236}">
                          <a16:creationId xmlns:a16="http://schemas.microsoft.com/office/drawing/2014/main" id="{4EE90B4A-EB92-438B-8124-5D69DF06D5EA}"/>
                        </a:ext>
                      </a:extLst>
                    </xdr:cNvPr>
                    <xdr:cNvGrpSpPr/>
                  </xdr:nvGrpSpPr>
                  <xdr:grpSpPr>
                    <a:xfrm>
                      <a:off x="1103303" y="12539761"/>
                      <a:ext cx="2954737" cy="153555"/>
                      <a:chOff x="1103303" y="12539761"/>
                      <a:chExt cx="2954737" cy="153555"/>
                    </a:xfrm>
                  </xdr:grpSpPr>
                  <xdr:cxnSp macro="">
                    <xdr:nvCxnSpPr>
                      <xdr:cNvPr id="87" name="Straight Connector 86">
                        <a:extLst>
                          <a:ext uri="{FF2B5EF4-FFF2-40B4-BE49-F238E27FC236}">
                            <a16:creationId xmlns:a16="http://schemas.microsoft.com/office/drawing/2014/main" id="{2DB3EB30-0632-48FF-B332-7ABC32FB5856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03303" y="12693316"/>
                        <a:ext cx="2954737" cy="0"/>
                      </a:xfrm>
                      <a:prstGeom prst="line">
                        <a:avLst/>
                      </a:prstGeom>
                      <a:ln w="3175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8" name="Straight Connector 87">
                        <a:extLst>
                          <a:ext uri="{FF2B5EF4-FFF2-40B4-BE49-F238E27FC236}">
                            <a16:creationId xmlns:a16="http://schemas.microsoft.com/office/drawing/2014/main" id="{B2B8E03B-AC5B-4586-B3F2-6889A32059AF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601390" y="12541164"/>
                        <a:ext cx="0" cy="149588"/>
                      </a:xfrm>
                      <a:prstGeom prst="line">
                        <a:avLst/>
                      </a:prstGeom>
                      <a:ln w="3175">
                        <a:headEnd type="oval" w="sm" len="sm"/>
                        <a:tailEnd type="none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9" name="Straight Connector 88">
                        <a:extLst>
                          <a:ext uri="{FF2B5EF4-FFF2-40B4-BE49-F238E27FC236}">
                            <a16:creationId xmlns:a16="http://schemas.microsoft.com/office/drawing/2014/main" id="{FAE251F2-53F5-452F-9E4C-4578ADE313C0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2675809" y="12539762"/>
                        <a:ext cx="0" cy="149588"/>
                      </a:xfrm>
                      <a:prstGeom prst="line">
                        <a:avLst/>
                      </a:prstGeom>
                      <a:ln w="3175">
                        <a:headEnd type="oval" w="sm" len="sm"/>
                        <a:tailEnd type="none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0" name="Straight Connector 89">
                        <a:extLst>
                          <a:ext uri="{FF2B5EF4-FFF2-40B4-BE49-F238E27FC236}">
                            <a16:creationId xmlns:a16="http://schemas.microsoft.com/office/drawing/2014/main" id="{E257C91A-6985-411C-AEC0-04B692093216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3754942" y="12539761"/>
                        <a:ext cx="0" cy="149588"/>
                      </a:xfrm>
                      <a:prstGeom prst="line">
                        <a:avLst/>
                      </a:prstGeom>
                      <a:ln w="3175">
                        <a:headEnd type="oval" w="sm" len="sm"/>
                        <a:tailEnd type="none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sp macro="" textlink="">
                  <xdr:nvSpPr>
                    <xdr:cNvPr id="85" name="TextBox 84">
                      <a:extLst>
                        <a:ext uri="{FF2B5EF4-FFF2-40B4-BE49-F238E27FC236}">
                          <a16:creationId xmlns:a16="http://schemas.microsoft.com/office/drawing/2014/main" id="{4C24C565-1908-4EF2-B4B2-A3E09C59C5F4}"/>
                        </a:ext>
                      </a:extLst>
                    </xdr:cNvPr>
                    <xdr:cNvSpPr txBox="1"/>
                  </xdr:nvSpPr>
                  <xdr:spPr>
                    <a:xfrm>
                      <a:off x="1976575" y="12525998"/>
                      <a:ext cx="330347" cy="2357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/>
                        <a:t>L</a:t>
                      </a:r>
                      <a:r>
                        <a:rPr lang="en-US" sz="600"/>
                        <a:t>b</a:t>
                      </a:r>
                    </a:p>
                  </xdr:txBody>
                </xdr:sp>
                <xdr:sp macro="" textlink="">
                  <xdr:nvSpPr>
                    <xdr:cNvPr id="86" name="TextBox 85">
                      <a:extLst>
                        <a:ext uri="{FF2B5EF4-FFF2-40B4-BE49-F238E27FC236}">
                          <a16:creationId xmlns:a16="http://schemas.microsoft.com/office/drawing/2014/main" id="{C5ED6B39-C5EA-40C1-AA0B-4DA45915537F}"/>
                        </a:ext>
                      </a:extLst>
                    </xdr:cNvPr>
                    <xdr:cNvSpPr txBox="1"/>
                  </xdr:nvSpPr>
                  <xdr:spPr>
                    <a:xfrm>
                      <a:off x="3083236" y="12520491"/>
                      <a:ext cx="330347" cy="2357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/>
                        <a:t>L</a:t>
                      </a:r>
                      <a:r>
                        <a:rPr lang="en-US" sz="600"/>
                        <a:t>b</a:t>
                      </a:r>
                    </a:p>
                  </xdr:txBody>
                </xdr:sp>
              </xdr:grpSp>
              <xdr:sp macro="" textlink="">
                <xdr:nvSpPr>
                  <xdr:cNvPr id="81" name="TextBox 80">
                    <a:extLst>
                      <a:ext uri="{FF2B5EF4-FFF2-40B4-BE49-F238E27FC236}">
                        <a16:creationId xmlns:a16="http://schemas.microsoft.com/office/drawing/2014/main" id="{347578D5-6FAA-4F41-A134-A791D83FAE02}"/>
                      </a:ext>
                    </a:extLst>
                  </xdr:cNvPr>
                  <xdr:cNvSpPr txBox="1"/>
                </xdr:nvSpPr>
                <xdr:spPr>
                  <a:xfrm>
                    <a:off x="1374834" y="11879312"/>
                    <a:ext cx="1124338" cy="22899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M = wL</a:t>
                    </a:r>
                    <a:r>
                      <a:rPr lang="en-US" sz="900" baseline="-25000"/>
                      <a:t>b</a:t>
                    </a:r>
                    <a:r>
                      <a:rPr lang="en-US" sz="900" baseline="30000"/>
                      <a:t>2</a:t>
                    </a:r>
                    <a:r>
                      <a:rPr lang="en-US" sz="900"/>
                      <a:t>/12</a:t>
                    </a:r>
                  </a:p>
                </xdr:txBody>
              </xdr:sp>
              <xdr:sp macro="" textlink="">
                <xdr:nvSpPr>
                  <xdr:cNvPr id="82" name="TextBox 81">
                    <a:extLst>
                      <a:ext uri="{FF2B5EF4-FFF2-40B4-BE49-F238E27FC236}">
                        <a16:creationId xmlns:a16="http://schemas.microsoft.com/office/drawing/2014/main" id="{6A33C765-6EF4-4AA3-89C3-3074777FF38F}"/>
                      </a:ext>
                    </a:extLst>
                  </xdr:cNvPr>
                  <xdr:cNvSpPr txBox="1"/>
                </xdr:nvSpPr>
                <xdr:spPr>
                  <a:xfrm>
                    <a:off x="2408209" y="11889771"/>
                    <a:ext cx="1164205" cy="21853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M = wL</a:t>
                    </a:r>
                    <a:r>
                      <a:rPr lang="en-US" sz="900" baseline="-25000"/>
                      <a:t>b</a:t>
                    </a:r>
                    <a:r>
                      <a:rPr lang="en-US" sz="900" baseline="30000"/>
                      <a:t>2</a:t>
                    </a:r>
                    <a:r>
                      <a:rPr lang="en-US" sz="900"/>
                      <a:t>/12</a:t>
                    </a:r>
                  </a:p>
                </xdr:txBody>
              </xdr:sp>
            </xdr:grpSp>
            <xdr:grpSp>
              <xdr:nvGrpSpPr>
                <xdr:cNvPr id="69" name="Group 68">
                  <a:extLst>
                    <a:ext uri="{FF2B5EF4-FFF2-40B4-BE49-F238E27FC236}">
                      <a16:creationId xmlns:a16="http://schemas.microsoft.com/office/drawing/2014/main" id="{1DD77CE1-5D1B-41C9-B1CC-4A5D4F754399}"/>
                    </a:ext>
                  </a:extLst>
                </xdr:cNvPr>
                <xdr:cNvGrpSpPr/>
              </xdr:nvGrpSpPr>
              <xdr:grpSpPr>
                <a:xfrm>
                  <a:off x="1083798" y="11138253"/>
                  <a:ext cx="3031721" cy="575632"/>
                  <a:chOff x="1083798" y="11138253"/>
                  <a:chExt cx="3031721" cy="575632"/>
                </a:xfrm>
              </xdr:grpSpPr>
              <xdr:cxnSp macro="">
                <xdr:nvCxnSpPr>
                  <xdr:cNvPr id="70" name="Straight Connector 69">
                    <a:extLst>
                      <a:ext uri="{FF2B5EF4-FFF2-40B4-BE49-F238E27FC236}">
                        <a16:creationId xmlns:a16="http://schemas.microsoft.com/office/drawing/2014/main" id="{E9C10959-598D-4951-8943-72E135460548}"/>
                      </a:ext>
                    </a:extLst>
                  </xdr:cNvPr>
                  <xdr:cNvCxnSpPr/>
                </xdr:nvCxnSpPr>
                <xdr:spPr>
                  <a:xfrm>
                    <a:off x="1644410" y="11202059"/>
                    <a:ext cx="1069316" cy="494222"/>
                  </a:xfrm>
                  <a:prstGeom prst="line">
                    <a:avLst/>
                  </a:prstGeom>
                  <a:ln w="66675">
                    <a:solidFill>
                      <a:schemeClr val="accent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1" name="Straight Connector 70">
                    <a:extLst>
                      <a:ext uri="{FF2B5EF4-FFF2-40B4-BE49-F238E27FC236}">
                        <a16:creationId xmlns:a16="http://schemas.microsoft.com/office/drawing/2014/main" id="{D279FAAA-DF83-4532-8A8A-82BC4ECEE226}"/>
                      </a:ext>
                    </a:extLst>
                  </xdr:cNvPr>
                  <xdr:cNvCxnSpPr/>
                </xdr:nvCxnSpPr>
                <xdr:spPr>
                  <a:xfrm>
                    <a:off x="3836956" y="11202060"/>
                    <a:ext cx="278563" cy="128747"/>
                  </a:xfrm>
                  <a:prstGeom prst="line">
                    <a:avLst/>
                  </a:prstGeom>
                  <a:ln w="63500">
                    <a:solidFill>
                      <a:schemeClr val="accent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2" name="Straight Connector 71">
                    <a:extLst>
                      <a:ext uri="{FF2B5EF4-FFF2-40B4-BE49-F238E27FC236}">
                        <a16:creationId xmlns:a16="http://schemas.microsoft.com/office/drawing/2014/main" id="{5C811A1B-CC8B-48C6-8107-636390FAF434}"/>
                      </a:ext>
                    </a:extLst>
                  </xdr:cNvPr>
                  <xdr:cNvCxnSpPr/>
                </xdr:nvCxnSpPr>
                <xdr:spPr>
                  <a:xfrm flipV="1">
                    <a:off x="2722712" y="11193072"/>
                    <a:ext cx="1096274" cy="503208"/>
                  </a:xfrm>
                  <a:prstGeom prst="line">
                    <a:avLst/>
                  </a:prstGeom>
                  <a:ln w="63500">
                    <a:solidFill>
                      <a:schemeClr val="accent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3" name="Straight Connector 72">
                    <a:extLst>
                      <a:ext uri="{FF2B5EF4-FFF2-40B4-BE49-F238E27FC236}">
                        <a16:creationId xmlns:a16="http://schemas.microsoft.com/office/drawing/2014/main" id="{4C29B11A-9F42-45BC-B01D-DDE354823C98}"/>
                      </a:ext>
                    </a:extLst>
                  </xdr:cNvPr>
                  <xdr:cNvCxnSpPr/>
                </xdr:nvCxnSpPr>
                <xdr:spPr>
                  <a:xfrm flipV="1">
                    <a:off x="1087288" y="11193073"/>
                    <a:ext cx="512193" cy="235105"/>
                  </a:xfrm>
                  <a:prstGeom prst="line">
                    <a:avLst/>
                  </a:prstGeom>
                  <a:ln w="63500">
                    <a:solidFill>
                      <a:schemeClr val="accent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74" name="Group 73">
                    <a:extLst>
                      <a:ext uri="{FF2B5EF4-FFF2-40B4-BE49-F238E27FC236}">
                        <a16:creationId xmlns:a16="http://schemas.microsoft.com/office/drawing/2014/main" id="{A2DB5093-DD80-44B7-BD23-D1DC59624146}"/>
                      </a:ext>
                    </a:extLst>
                  </xdr:cNvPr>
                  <xdr:cNvGrpSpPr/>
                </xdr:nvGrpSpPr>
                <xdr:grpSpPr>
                  <a:xfrm>
                    <a:off x="1083798" y="11138253"/>
                    <a:ext cx="3021635" cy="575632"/>
                    <a:chOff x="1085265" y="11346627"/>
                    <a:chExt cx="3026036" cy="592688"/>
                  </a:xfrm>
                </xdr:grpSpPr>
                <xdr:cxnSp macro="">
                  <xdr:nvCxnSpPr>
                    <xdr:cNvPr id="75" name="Straight Connector 74">
                      <a:extLst>
                        <a:ext uri="{FF2B5EF4-FFF2-40B4-BE49-F238E27FC236}">
                          <a16:creationId xmlns:a16="http://schemas.microsoft.com/office/drawing/2014/main" id="{F0A26C37-86B2-4AC4-A17F-488BF1360A21}"/>
                        </a:ext>
                      </a:extLst>
                    </xdr:cNvPr>
                    <xdr:cNvCxnSpPr/>
                  </xdr:nvCxnSpPr>
                  <xdr:spPr>
                    <a:xfrm>
                      <a:off x="1607976" y="11384727"/>
                      <a:ext cx="0" cy="536621"/>
                    </a:xfrm>
                    <a:prstGeom prst="line">
                      <a:avLst/>
                    </a:prstGeom>
                    <a:ln w="101600">
                      <a:solidFill>
                        <a:schemeClr val="accent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6" name="Straight Connector 75">
                      <a:extLst>
                        <a:ext uri="{FF2B5EF4-FFF2-40B4-BE49-F238E27FC236}">
                          <a16:creationId xmlns:a16="http://schemas.microsoft.com/office/drawing/2014/main" id="{1FE22D0F-2DF5-46F5-A0F6-C6264F3FCD8F}"/>
                        </a:ext>
                      </a:extLst>
                    </xdr:cNvPr>
                    <xdr:cNvCxnSpPr/>
                  </xdr:nvCxnSpPr>
                  <xdr:spPr>
                    <a:xfrm>
                      <a:off x="3807668" y="11384727"/>
                      <a:ext cx="0" cy="536621"/>
                    </a:xfrm>
                    <a:prstGeom prst="line">
                      <a:avLst/>
                    </a:prstGeom>
                    <a:ln w="101600">
                      <a:solidFill>
                        <a:schemeClr val="accent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7" name="Straight Connector 76">
                      <a:extLst>
                        <a:ext uri="{FF2B5EF4-FFF2-40B4-BE49-F238E27FC236}">
                          <a16:creationId xmlns:a16="http://schemas.microsoft.com/office/drawing/2014/main" id="{DC3D2FE3-EA51-46B8-971F-6E40261513A2}"/>
                        </a:ext>
                      </a:extLst>
                    </xdr:cNvPr>
                    <xdr:cNvCxnSpPr/>
                  </xdr:nvCxnSpPr>
                  <xdr:spPr>
                    <a:xfrm>
                      <a:off x="2717152" y="11394252"/>
                      <a:ext cx="0" cy="535538"/>
                    </a:xfrm>
                    <a:prstGeom prst="line">
                      <a:avLst/>
                    </a:prstGeom>
                    <a:ln w="101600">
                      <a:solidFill>
                        <a:schemeClr val="accent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8" name="Straight Connector 77">
                      <a:extLst>
                        <a:ext uri="{FF2B5EF4-FFF2-40B4-BE49-F238E27FC236}">
                          <a16:creationId xmlns:a16="http://schemas.microsoft.com/office/drawing/2014/main" id="{948CA58B-D4C9-434D-A916-B24B4C5B16E5}"/>
                        </a:ext>
                      </a:extLst>
                    </xdr:cNvPr>
                    <xdr:cNvCxnSpPr/>
                  </xdr:nvCxnSpPr>
                  <xdr:spPr>
                    <a:xfrm>
                      <a:off x="1085265" y="11346627"/>
                      <a:ext cx="3016317" cy="0"/>
                    </a:xfrm>
                    <a:prstGeom prst="line">
                      <a:avLst/>
                    </a:prstGeom>
                    <a:ln w="11430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9" name="Straight Connector 78">
                      <a:extLst>
                        <a:ext uri="{FF2B5EF4-FFF2-40B4-BE49-F238E27FC236}">
                          <a16:creationId xmlns:a16="http://schemas.microsoft.com/office/drawing/2014/main" id="{1D543C24-5EC2-4AD5-B04E-2DB5A8D6644B}"/>
                        </a:ext>
                      </a:extLst>
                    </xdr:cNvPr>
                    <xdr:cNvCxnSpPr/>
                  </xdr:nvCxnSpPr>
                  <xdr:spPr>
                    <a:xfrm>
                      <a:off x="1085265" y="11939315"/>
                      <a:ext cx="3026036" cy="0"/>
                    </a:xfrm>
                    <a:prstGeom prst="line">
                      <a:avLst/>
                    </a:prstGeom>
                    <a:ln w="11430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</xdr:grpSp>
        </xdr:grpSp>
      </xdr:grp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904F4863-6E4B-49BA-B289-66A4C1BB25C4}"/>
              </a:ext>
            </a:extLst>
          </xdr:cNvPr>
          <xdr:cNvGrpSpPr/>
        </xdr:nvGrpSpPr>
        <xdr:grpSpPr>
          <a:xfrm>
            <a:off x="1150071" y="11848970"/>
            <a:ext cx="2212498" cy="188595"/>
            <a:chOff x="1753345" y="11568352"/>
            <a:chExt cx="2212498" cy="189659"/>
          </a:xfrm>
        </xdr:grpSpPr>
        <xdr:cxnSp macro="">
          <xdr:nvCxnSpPr>
            <xdr:cNvPr id="52" name="Straight Connector 51">
              <a:extLst>
                <a:ext uri="{FF2B5EF4-FFF2-40B4-BE49-F238E27FC236}">
                  <a16:creationId xmlns:a16="http://schemas.microsoft.com/office/drawing/2014/main" id="{E96DE8A9-1299-468D-8CF6-F0BD9ECA6749}"/>
                </a:ext>
              </a:extLst>
            </xdr:cNvPr>
            <xdr:cNvCxnSpPr/>
          </xdr:nvCxnSpPr>
          <xdr:spPr>
            <a:xfrm flipV="1">
              <a:off x="1753345" y="11576334"/>
              <a:ext cx="0" cy="177182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Connector 52">
              <a:extLst>
                <a:ext uri="{FF2B5EF4-FFF2-40B4-BE49-F238E27FC236}">
                  <a16:creationId xmlns:a16="http://schemas.microsoft.com/office/drawing/2014/main" id="{A84854A8-0D77-455B-ABE4-FCEA91431898}"/>
                </a:ext>
              </a:extLst>
            </xdr:cNvPr>
            <xdr:cNvCxnSpPr/>
          </xdr:nvCxnSpPr>
          <xdr:spPr>
            <a:xfrm flipV="1">
              <a:off x="1999627" y="11576334"/>
              <a:ext cx="0" cy="181672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Straight Connector 53">
              <a:extLst>
                <a:ext uri="{FF2B5EF4-FFF2-40B4-BE49-F238E27FC236}">
                  <a16:creationId xmlns:a16="http://schemas.microsoft.com/office/drawing/2014/main" id="{BF0BBB92-1FFC-4519-8B77-252F349431CA}"/>
                </a:ext>
              </a:extLst>
            </xdr:cNvPr>
            <xdr:cNvCxnSpPr/>
          </xdr:nvCxnSpPr>
          <xdr:spPr>
            <a:xfrm flipV="1">
              <a:off x="2245063" y="11571013"/>
              <a:ext cx="0" cy="186993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Straight Connector 54">
              <a:extLst>
                <a:ext uri="{FF2B5EF4-FFF2-40B4-BE49-F238E27FC236}">
                  <a16:creationId xmlns:a16="http://schemas.microsoft.com/office/drawing/2014/main" id="{AC29525B-E7FF-4264-A7C8-BED16047A4EA}"/>
                </a:ext>
              </a:extLst>
            </xdr:cNvPr>
            <xdr:cNvCxnSpPr/>
          </xdr:nvCxnSpPr>
          <xdr:spPr>
            <a:xfrm flipV="1">
              <a:off x="2491345" y="11573673"/>
              <a:ext cx="0" cy="182091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Straight Connector 55">
              <a:extLst>
                <a:ext uri="{FF2B5EF4-FFF2-40B4-BE49-F238E27FC236}">
                  <a16:creationId xmlns:a16="http://schemas.microsoft.com/office/drawing/2014/main" id="{65344FCF-19B6-4F75-B85A-9BECC8BCFCBC}"/>
                </a:ext>
              </a:extLst>
            </xdr:cNvPr>
            <xdr:cNvCxnSpPr/>
          </xdr:nvCxnSpPr>
          <xdr:spPr>
            <a:xfrm flipV="1">
              <a:off x="2737627" y="11573673"/>
              <a:ext cx="0" cy="184338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Straight Connector 56">
              <a:extLst>
                <a:ext uri="{FF2B5EF4-FFF2-40B4-BE49-F238E27FC236}">
                  <a16:creationId xmlns:a16="http://schemas.microsoft.com/office/drawing/2014/main" id="{2C46BBE1-8366-45E5-88B5-9840F86B005B}"/>
                </a:ext>
              </a:extLst>
            </xdr:cNvPr>
            <xdr:cNvCxnSpPr/>
          </xdr:nvCxnSpPr>
          <xdr:spPr>
            <a:xfrm flipV="1">
              <a:off x="2983063" y="11573673"/>
              <a:ext cx="0" cy="184336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" name="Straight Connector 57">
              <a:extLst>
                <a:ext uri="{FF2B5EF4-FFF2-40B4-BE49-F238E27FC236}">
                  <a16:creationId xmlns:a16="http://schemas.microsoft.com/office/drawing/2014/main" id="{5AAB4C7B-1D0B-40A7-B447-BB1935BEF1DD}"/>
                </a:ext>
              </a:extLst>
            </xdr:cNvPr>
            <xdr:cNvCxnSpPr/>
          </xdr:nvCxnSpPr>
          <xdr:spPr>
            <a:xfrm flipV="1">
              <a:off x="3227844" y="11568352"/>
              <a:ext cx="0" cy="182922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" name="Straight Connector 58">
              <a:extLst>
                <a:ext uri="{FF2B5EF4-FFF2-40B4-BE49-F238E27FC236}">
                  <a16:creationId xmlns:a16="http://schemas.microsoft.com/office/drawing/2014/main" id="{EA0D440A-4272-4230-B28A-5DA4845C1DF9}"/>
                </a:ext>
              </a:extLst>
            </xdr:cNvPr>
            <xdr:cNvCxnSpPr/>
          </xdr:nvCxnSpPr>
          <xdr:spPr>
            <a:xfrm flipV="1">
              <a:off x="3474125" y="11571015"/>
              <a:ext cx="0" cy="184749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" name="Straight Connector 59">
              <a:extLst>
                <a:ext uri="{FF2B5EF4-FFF2-40B4-BE49-F238E27FC236}">
                  <a16:creationId xmlns:a16="http://schemas.microsoft.com/office/drawing/2014/main" id="{BCEE2450-D53E-4BF0-BC62-731124DA0D6D}"/>
                </a:ext>
              </a:extLst>
            </xdr:cNvPr>
            <xdr:cNvCxnSpPr/>
          </xdr:nvCxnSpPr>
          <xdr:spPr>
            <a:xfrm flipV="1">
              <a:off x="3719562" y="11571015"/>
              <a:ext cx="0" cy="184749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Straight Connector 60">
              <a:extLst>
                <a:ext uri="{FF2B5EF4-FFF2-40B4-BE49-F238E27FC236}">
                  <a16:creationId xmlns:a16="http://schemas.microsoft.com/office/drawing/2014/main" id="{42ED4854-389B-4AB1-A5B6-351FBED87EE1}"/>
                </a:ext>
              </a:extLst>
            </xdr:cNvPr>
            <xdr:cNvCxnSpPr/>
          </xdr:nvCxnSpPr>
          <xdr:spPr>
            <a:xfrm flipV="1">
              <a:off x="3965843" y="11568355"/>
              <a:ext cx="0" cy="185168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291873</xdr:colOff>
      <xdr:row>1115</xdr:row>
      <xdr:rowOff>0</xdr:rowOff>
    </xdr:from>
    <xdr:to>
      <xdr:col>13</xdr:col>
      <xdr:colOff>376918</xdr:colOff>
      <xdr:row>1121</xdr:row>
      <xdr:rowOff>78879</xdr:rowOff>
    </xdr:to>
    <xdr:grpSp>
      <xdr:nvGrpSpPr>
        <xdr:cNvPr id="156" name="그룹 59">
          <a:extLst>
            <a:ext uri="{FF2B5EF4-FFF2-40B4-BE49-F238E27FC236}">
              <a16:creationId xmlns:a16="http://schemas.microsoft.com/office/drawing/2014/main" id="{B0D04693-19D2-4D25-A973-617476D379F1}"/>
            </a:ext>
          </a:extLst>
        </xdr:cNvPr>
        <xdr:cNvGrpSpPr/>
      </xdr:nvGrpSpPr>
      <xdr:grpSpPr>
        <a:xfrm>
          <a:off x="3797073" y="57709253"/>
          <a:ext cx="2275795" cy="1100776"/>
          <a:chOff x="538689" y="21665334"/>
          <a:chExt cx="2549636" cy="1147041"/>
        </a:xfrm>
      </xdr:grpSpPr>
      <xdr:grpSp>
        <xdr:nvGrpSpPr>
          <xdr:cNvPr id="157" name="그룹 17">
            <a:extLst>
              <a:ext uri="{FF2B5EF4-FFF2-40B4-BE49-F238E27FC236}">
                <a16:creationId xmlns:a16="http://schemas.microsoft.com/office/drawing/2014/main" id="{766AC1ED-BFC5-48B6-8A03-7FAEB1A6CF46}"/>
              </a:ext>
            </a:extLst>
          </xdr:cNvPr>
          <xdr:cNvGrpSpPr/>
        </xdr:nvGrpSpPr>
        <xdr:grpSpPr>
          <a:xfrm>
            <a:off x="538689" y="21665334"/>
            <a:ext cx="2549636" cy="1147041"/>
            <a:chOff x="7369117" y="21360533"/>
            <a:chExt cx="2554649" cy="1191207"/>
          </a:xfrm>
        </xdr:grpSpPr>
        <xdr:grpSp>
          <xdr:nvGrpSpPr>
            <xdr:cNvPr id="159" name="그룹 112">
              <a:extLst>
                <a:ext uri="{FF2B5EF4-FFF2-40B4-BE49-F238E27FC236}">
                  <a16:creationId xmlns:a16="http://schemas.microsoft.com/office/drawing/2014/main" id="{67EEE9FE-D32C-478F-BB87-967A343F6B93}"/>
                </a:ext>
              </a:extLst>
            </xdr:cNvPr>
            <xdr:cNvGrpSpPr/>
          </xdr:nvGrpSpPr>
          <xdr:grpSpPr>
            <a:xfrm>
              <a:off x="7369117" y="21360533"/>
              <a:ext cx="2554649" cy="1191207"/>
              <a:chOff x="3519929" y="6330476"/>
              <a:chExt cx="2552996" cy="1317327"/>
            </a:xfrm>
          </xdr:grpSpPr>
          <xdr:grpSp>
            <xdr:nvGrpSpPr>
              <xdr:cNvPr id="164" name="그룹 176">
                <a:extLst>
                  <a:ext uri="{FF2B5EF4-FFF2-40B4-BE49-F238E27FC236}">
                    <a16:creationId xmlns:a16="http://schemas.microsoft.com/office/drawing/2014/main" id="{32CA1D79-CC7D-4069-B468-A4FB5EB6FAEA}"/>
                  </a:ext>
                </a:extLst>
              </xdr:cNvPr>
              <xdr:cNvGrpSpPr/>
            </xdr:nvGrpSpPr>
            <xdr:grpSpPr>
              <a:xfrm>
                <a:off x="3519929" y="6330476"/>
                <a:ext cx="2552996" cy="1317327"/>
                <a:chOff x="7186610" y="1304919"/>
                <a:chExt cx="2551899" cy="1318468"/>
              </a:xfrm>
            </xdr:grpSpPr>
            <xdr:sp macro="" textlink="">
              <xdr:nvSpPr>
                <xdr:cNvPr id="173" name="자유형 179">
                  <a:extLst>
                    <a:ext uri="{FF2B5EF4-FFF2-40B4-BE49-F238E27FC236}">
                      <a16:creationId xmlns:a16="http://schemas.microsoft.com/office/drawing/2014/main" id="{615C5C26-F3AB-4C49-9F1A-834A718207E8}"/>
                    </a:ext>
                  </a:extLst>
                </xdr:cNvPr>
                <xdr:cNvSpPr/>
              </xdr:nvSpPr>
              <xdr:spPr>
                <a:xfrm>
                  <a:off x="7186610" y="1304919"/>
                  <a:ext cx="2551899" cy="281934"/>
                </a:xfrm>
                <a:custGeom>
                  <a:avLst/>
                  <a:gdLst>
                    <a:gd name="connsiteX0" fmla="*/ 270761 w 2267627"/>
                    <a:gd name="connsiteY0" fmla="*/ 169226 h 234499"/>
                    <a:gd name="connsiteX1" fmla="*/ 0 w 2267627"/>
                    <a:gd name="connsiteY1" fmla="*/ 169226 h 234499"/>
                    <a:gd name="connsiteX2" fmla="*/ 0 w 2267627"/>
                    <a:gd name="connsiteY2" fmla="*/ 0 h 234499"/>
                    <a:gd name="connsiteX3" fmla="*/ 2267627 w 2267627"/>
                    <a:gd name="connsiteY3" fmla="*/ 0 h 234499"/>
                    <a:gd name="connsiteX4" fmla="*/ 2267627 w 2267627"/>
                    <a:gd name="connsiteY4" fmla="*/ 164391 h 234499"/>
                    <a:gd name="connsiteX5" fmla="*/ 1996865 w 2267627"/>
                    <a:gd name="connsiteY5" fmla="*/ 164391 h 234499"/>
                    <a:gd name="connsiteX6" fmla="*/ 1926757 w 2267627"/>
                    <a:gd name="connsiteY6" fmla="*/ 234499 h 234499"/>
                    <a:gd name="connsiteX7" fmla="*/ 336034 w 2267627"/>
                    <a:gd name="connsiteY7" fmla="*/ 234499 h 234499"/>
                    <a:gd name="connsiteX8" fmla="*/ 270761 w 2267627"/>
                    <a:gd name="connsiteY8" fmla="*/ 169226 h 23449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</a:cxnLst>
                  <a:rect l="l" t="t" r="r" b="b"/>
                  <a:pathLst>
                    <a:path w="2267627" h="234499">
                      <a:moveTo>
                        <a:pt x="270761" y="169226"/>
                      </a:moveTo>
                      <a:lnTo>
                        <a:pt x="0" y="169226"/>
                      </a:lnTo>
                      <a:lnTo>
                        <a:pt x="0" y="0"/>
                      </a:lnTo>
                      <a:lnTo>
                        <a:pt x="2267627" y="0"/>
                      </a:lnTo>
                      <a:lnTo>
                        <a:pt x="2267627" y="164391"/>
                      </a:lnTo>
                      <a:lnTo>
                        <a:pt x="1996865" y="164391"/>
                      </a:lnTo>
                      <a:lnTo>
                        <a:pt x="1926757" y="234499"/>
                      </a:lnTo>
                      <a:lnTo>
                        <a:pt x="336034" y="234499"/>
                      </a:lnTo>
                      <a:lnTo>
                        <a:pt x="270761" y="169226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6350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174" name="그룹 180">
                  <a:extLst>
                    <a:ext uri="{FF2B5EF4-FFF2-40B4-BE49-F238E27FC236}">
                      <a16:creationId xmlns:a16="http://schemas.microsoft.com/office/drawing/2014/main" id="{23CD907B-EB15-45DB-A0DD-0D18A5379C66}"/>
                    </a:ext>
                  </a:extLst>
                </xdr:cNvPr>
                <xdr:cNvGrpSpPr/>
              </xdr:nvGrpSpPr>
              <xdr:grpSpPr>
                <a:xfrm>
                  <a:off x="7556448" y="1560615"/>
                  <a:ext cx="1806431" cy="1062772"/>
                  <a:chOff x="4444379" y="313952"/>
                  <a:chExt cx="1570116" cy="1069110"/>
                </a:xfrm>
              </xdr:grpSpPr>
              <xdr:grpSp>
                <xdr:nvGrpSpPr>
                  <xdr:cNvPr id="175" name="그룹 181">
                    <a:extLst>
                      <a:ext uri="{FF2B5EF4-FFF2-40B4-BE49-F238E27FC236}">
                        <a16:creationId xmlns:a16="http://schemas.microsoft.com/office/drawing/2014/main" id="{0CD68B9B-8958-4D2D-A2B2-B1D713EE9610}"/>
                      </a:ext>
                    </a:extLst>
                  </xdr:cNvPr>
                  <xdr:cNvGrpSpPr/>
                </xdr:nvGrpSpPr>
                <xdr:grpSpPr>
                  <a:xfrm>
                    <a:off x="4444379" y="315446"/>
                    <a:ext cx="1421153" cy="1067616"/>
                    <a:chOff x="2971800" y="381000"/>
                    <a:chExt cx="1422339" cy="1061287"/>
                  </a:xfrm>
                </xdr:grpSpPr>
                <xdr:cxnSp macro="">
                  <xdr:nvCxnSpPr>
                    <xdr:cNvPr id="177" name="직선 연결선 183">
                      <a:extLst>
                        <a:ext uri="{FF2B5EF4-FFF2-40B4-BE49-F238E27FC236}">
                          <a16:creationId xmlns:a16="http://schemas.microsoft.com/office/drawing/2014/main" id="{D96F38F9-6F5E-47C5-8119-E55E28AB387C}"/>
                        </a:ext>
                      </a:extLst>
                    </xdr:cNvPr>
                    <xdr:cNvCxnSpPr/>
                  </xdr:nvCxnSpPr>
                  <xdr:spPr>
                    <a:xfrm>
                      <a:off x="3207515" y="1442287"/>
                      <a:ext cx="1111112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8" name="직선 연결선 184">
                      <a:extLst>
                        <a:ext uri="{FF2B5EF4-FFF2-40B4-BE49-F238E27FC236}">
                          <a16:creationId xmlns:a16="http://schemas.microsoft.com/office/drawing/2014/main" id="{E6FC1A61-3930-484B-900A-785056427982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3121216" y="388272"/>
                      <a:ext cx="247294" cy="1050604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9" name="직선 연결선 185">
                      <a:extLst>
                        <a:ext uri="{FF2B5EF4-FFF2-40B4-BE49-F238E27FC236}">
                          <a16:creationId xmlns:a16="http://schemas.microsoft.com/office/drawing/2014/main" id="{F8794B26-85FC-473E-8EC3-84ACA64BD5D2}"/>
                        </a:ext>
                      </a:extLst>
                    </xdr:cNvPr>
                    <xdr:cNvCxnSpPr/>
                  </xdr:nvCxnSpPr>
                  <xdr:spPr>
                    <a:xfrm flipV="1">
                      <a:off x="4166565" y="399805"/>
                      <a:ext cx="227574" cy="103615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0" name="직선 연결선 186">
                      <a:extLst>
                        <a:ext uri="{FF2B5EF4-FFF2-40B4-BE49-F238E27FC236}">
                          <a16:creationId xmlns:a16="http://schemas.microsoft.com/office/drawing/2014/main" id="{AC4B2E08-140E-486F-8E0E-08D9F795F1FC}"/>
                        </a:ext>
                      </a:extLst>
                    </xdr:cNvPr>
                    <xdr:cNvCxnSpPr/>
                  </xdr:nvCxnSpPr>
                  <xdr:spPr>
                    <a:xfrm>
                      <a:off x="2971800" y="381000"/>
                      <a:ext cx="363653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176" name="직선 연결선 182">
                    <a:extLst>
                      <a:ext uri="{FF2B5EF4-FFF2-40B4-BE49-F238E27FC236}">
                        <a16:creationId xmlns:a16="http://schemas.microsoft.com/office/drawing/2014/main" id="{A7739701-46C4-45C8-9FAA-F6982B7CE6C1}"/>
                      </a:ext>
                    </a:extLst>
                  </xdr:cNvPr>
                  <xdr:cNvCxnSpPr/>
                </xdr:nvCxnSpPr>
                <xdr:spPr>
                  <a:xfrm>
                    <a:off x="5651145" y="313952"/>
                    <a:ext cx="363350" cy="0"/>
                  </a:xfrm>
                  <a:prstGeom prst="line">
                    <a:avLst/>
                  </a:prstGeom>
                  <a:ln w="57150"/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165" name="그룹 122">
                <a:extLst>
                  <a:ext uri="{FF2B5EF4-FFF2-40B4-BE49-F238E27FC236}">
                    <a16:creationId xmlns:a16="http://schemas.microsoft.com/office/drawing/2014/main" id="{5E88FD87-30D4-4DF7-9910-BA119E7979CD}"/>
                  </a:ext>
                </a:extLst>
              </xdr:cNvPr>
              <xdr:cNvGrpSpPr/>
            </xdr:nvGrpSpPr>
            <xdr:grpSpPr>
              <a:xfrm>
                <a:off x="4913150" y="6654079"/>
                <a:ext cx="848704" cy="797165"/>
                <a:chOff x="4913150" y="6654079"/>
                <a:chExt cx="848704" cy="797165"/>
              </a:xfrm>
            </xdr:grpSpPr>
            <xdr:sp macro="" textlink="">
              <xdr:nvSpPr>
                <xdr:cNvPr id="166" name="TextBox 165">
                  <a:extLst>
                    <a:ext uri="{FF2B5EF4-FFF2-40B4-BE49-F238E27FC236}">
                      <a16:creationId xmlns:a16="http://schemas.microsoft.com/office/drawing/2014/main" id="{BA78EE0A-EE94-4519-AED2-3C18AD4CA53B}"/>
                    </a:ext>
                  </a:extLst>
                </xdr:cNvPr>
                <xdr:cNvSpPr txBox="1"/>
              </xdr:nvSpPr>
              <xdr:spPr>
                <a:xfrm>
                  <a:off x="4913150" y="6654079"/>
                  <a:ext cx="848704" cy="19911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   V</a:t>
                  </a:r>
                  <a:r>
                    <a:rPr lang="en-US" altLang="ko-KR" sz="600"/>
                    <a:t>u</a:t>
                  </a:r>
                  <a:r>
                    <a:rPr lang="en-US" altLang="ko-KR" sz="900"/>
                    <a:t>   V</a:t>
                  </a:r>
                  <a:r>
                    <a:rPr lang="en-US" altLang="ko-KR" sz="600"/>
                    <a:t>ui</a:t>
                  </a:r>
                  <a:endParaRPr lang="en-US" sz="900"/>
                </a:p>
              </xdr:txBody>
            </xdr:sp>
            <xdr:grpSp>
              <xdr:nvGrpSpPr>
                <xdr:cNvPr id="167" name="그룹 135">
                  <a:extLst>
                    <a:ext uri="{FF2B5EF4-FFF2-40B4-BE49-F238E27FC236}">
                      <a16:creationId xmlns:a16="http://schemas.microsoft.com/office/drawing/2014/main" id="{6F9D44AF-CB40-415F-BB4C-5068F70F212C}"/>
                    </a:ext>
                  </a:extLst>
                </xdr:cNvPr>
                <xdr:cNvGrpSpPr/>
              </xdr:nvGrpSpPr>
              <xdr:grpSpPr>
                <a:xfrm>
                  <a:off x="4961553" y="6829685"/>
                  <a:ext cx="362390" cy="621559"/>
                  <a:chOff x="4749622" y="6834448"/>
                  <a:chExt cx="362390" cy="621559"/>
                </a:xfrm>
              </xdr:grpSpPr>
              <xdr:cxnSp macro="">
                <xdr:nvCxnSpPr>
                  <xdr:cNvPr id="168" name="직선 화살표 연결선 153">
                    <a:extLst>
                      <a:ext uri="{FF2B5EF4-FFF2-40B4-BE49-F238E27FC236}">
                        <a16:creationId xmlns:a16="http://schemas.microsoft.com/office/drawing/2014/main" id="{73F8D46B-61A3-4863-9B66-448462530EDA}"/>
                      </a:ext>
                    </a:extLst>
                  </xdr:cNvPr>
                  <xdr:cNvCxnSpPr/>
                </xdr:nvCxnSpPr>
                <xdr:spPr>
                  <a:xfrm flipH="1">
                    <a:off x="4939515" y="6854644"/>
                    <a:ext cx="166447" cy="601363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9" name="직선 화살표 연결선 154">
                    <a:extLst>
                      <a:ext uri="{FF2B5EF4-FFF2-40B4-BE49-F238E27FC236}">
                        <a16:creationId xmlns:a16="http://schemas.microsoft.com/office/drawing/2014/main" id="{05F05444-5155-42BC-9C82-9A55118241E4}"/>
                      </a:ext>
                    </a:extLst>
                  </xdr:cNvPr>
                  <xdr:cNvCxnSpPr/>
                </xdr:nvCxnSpPr>
                <xdr:spPr>
                  <a:xfrm>
                    <a:off x="4755902" y="7451596"/>
                    <a:ext cx="180646" cy="0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0" name="직선 연결선 155">
                    <a:extLst>
                      <a:ext uri="{FF2B5EF4-FFF2-40B4-BE49-F238E27FC236}">
                        <a16:creationId xmlns:a16="http://schemas.microsoft.com/office/drawing/2014/main" id="{6D605516-8267-4E0E-8FB1-1E0E75D364F2}"/>
                      </a:ext>
                    </a:extLst>
                  </xdr:cNvPr>
                  <xdr:cNvCxnSpPr/>
                </xdr:nvCxnSpPr>
                <xdr:spPr>
                  <a:xfrm>
                    <a:off x="4930487" y="6843712"/>
                    <a:ext cx="181525" cy="0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1" name="직선 연결선 157">
                    <a:extLst>
                      <a:ext uri="{FF2B5EF4-FFF2-40B4-BE49-F238E27FC236}">
                        <a16:creationId xmlns:a16="http://schemas.microsoft.com/office/drawing/2014/main" id="{E476B2DA-72C5-4434-B4AA-814C8B3C127A}"/>
                      </a:ext>
                    </a:extLst>
                  </xdr:cNvPr>
                  <xdr:cNvCxnSpPr/>
                </xdr:nvCxnSpPr>
                <xdr:spPr>
                  <a:xfrm>
                    <a:off x="4933969" y="6848927"/>
                    <a:ext cx="0" cy="535637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2" name="직선 연결선 159">
                    <a:extLst>
                      <a:ext uri="{FF2B5EF4-FFF2-40B4-BE49-F238E27FC236}">
                        <a16:creationId xmlns:a16="http://schemas.microsoft.com/office/drawing/2014/main" id="{A37EBBFB-0DEB-498A-991D-DD3FC031B9B0}"/>
                      </a:ext>
                    </a:extLst>
                  </xdr:cNvPr>
                  <xdr:cNvCxnSpPr/>
                </xdr:nvCxnSpPr>
                <xdr:spPr>
                  <a:xfrm flipV="1">
                    <a:off x="4749622" y="6834448"/>
                    <a:ext cx="186727" cy="621214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</xdr:grpSp>
        <xdr:grpSp>
          <xdr:nvGrpSpPr>
            <xdr:cNvPr id="160" name="그룹 16">
              <a:extLst>
                <a:ext uri="{FF2B5EF4-FFF2-40B4-BE49-F238E27FC236}">
                  <a16:creationId xmlns:a16="http://schemas.microsoft.com/office/drawing/2014/main" id="{EA1C17EE-AFE1-4465-A2D2-30B06159A2C3}"/>
                </a:ext>
              </a:extLst>
            </xdr:cNvPr>
            <xdr:cNvGrpSpPr/>
          </xdr:nvGrpSpPr>
          <xdr:grpSpPr>
            <a:xfrm>
              <a:off x="8039101" y="21978937"/>
              <a:ext cx="257411" cy="542926"/>
              <a:chOff x="8039101" y="21978937"/>
              <a:chExt cx="257411" cy="542926"/>
            </a:xfrm>
          </xdr:grpSpPr>
          <xdr:cxnSp macro="">
            <xdr:nvCxnSpPr>
              <xdr:cNvPr id="161" name="직선 연결선 8">
                <a:extLst>
                  <a:ext uri="{FF2B5EF4-FFF2-40B4-BE49-F238E27FC236}">
                    <a16:creationId xmlns:a16="http://schemas.microsoft.com/office/drawing/2014/main" id="{D28FA547-D635-4AE2-B44F-6FF50B8F4570}"/>
                  </a:ext>
                </a:extLst>
              </xdr:cNvPr>
              <xdr:cNvCxnSpPr/>
            </xdr:nvCxnSpPr>
            <xdr:spPr>
              <a:xfrm flipV="1">
                <a:off x="8215313" y="22052756"/>
                <a:ext cx="0" cy="469107"/>
              </a:xfrm>
              <a:prstGeom prst="line">
                <a:avLst/>
              </a:prstGeom>
              <a:ln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62" name="TextBox 161">
                <a:extLst>
                  <a:ext uri="{FF2B5EF4-FFF2-40B4-BE49-F238E27FC236}">
                    <a16:creationId xmlns:a16="http://schemas.microsoft.com/office/drawing/2014/main" id="{8EC4A338-D28D-4B9A-B091-BD04E866C496}"/>
                  </a:ext>
                </a:extLst>
              </xdr:cNvPr>
              <xdr:cNvSpPr txBox="1"/>
            </xdr:nvSpPr>
            <xdr:spPr>
              <a:xfrm>
                <a:off x="8039101" y="21978937"/>
                <a:ext cx="214312" cy="19646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ko-KR" sz="900">
                    <a:sym typeface="Symbol"/>
                  </a:rPr>
                  <a:t></a:t>
                </a:r>
                <a:endParaRPr lang="en-US" sz="900"/>
              </a:p>
            </xdr:txBody>
          </xdr:sp>
          <xdr:sp macro="" textlink="">
            <xdr:nvSpPr>
              <xdr:cNvPr id="163" name="원호 13">
                <a:extLst>
                  <a:ext uri="{FF2B5EF4-FFF2-40B4-BE49-F238E27FC236}">
                    <a16:creationId xmlns:a16="http://schemas.microsoft.com/office/drawing/2014/main" id="{CD1B60E4-09F0-4628-B8CB-76C8D5A267C3}"/>
                  </a:ext>
                </a:extLst>
              </xdr:cNvPr>
              <xdr:cNvSpPr/>
            </xdr:nvSpPr>
            <xdr:spPr>
              <a:xfrm rot="18062625">
                <a:off x="8115300" y="22140387"/>
                <a:ext cx="164306" cy="198119"/>
              </a:xfrm>
              <a:prstGeom prst="arc">
                <a:avLst>
                  <a:gd name="adj1" fmla="val 16200000"/>
                  <a:gd name="adj2" fmla="val 20386157"/>
                </a:avLst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cxnSp macro="">
        <xdr:nvCxnSpPr>
          <xdr:cNvPr id="158" name="직선 화살표 연결선 56">
            <a:extLst>
              <a:ext uri="{FF2B5EF4-FFF2-40B4-BE49-F238E27FC236}">
                <a16:creationId xmlns:a16="http://schemas.microsoft.com/office/drawing/2014/main" id="{091B173A-EE89-4BE1-85A6-7A57FD116D01}"/>
              </a:ext>
            </a:extLst>
          </xdr:cNvPr>
          <xdr:cNvCxnSpPr/>
        </xdr:nvCxnSpPr>
        <xdr:spPr>
          <a:xfrm>
            <a:off x="2165684" y="22112360"/>
            <a:ext cx="0" cy="527736"/>
          </a:xfrm>
          <a:prstGeom prst="straightConnector1">
            <a:avLst/>
          </a:prstGeom>
          <a:ln w="19050">
            <a:solidFill>
              <a:srgbClr val="FF0000"/>
            </a:solidFill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25</xdr:row>
      <xdr:rowOff>123861</xdr:rowOff>
    </xdr:from>
    <xdr:to>
      <xdr:col>8</xdr:col>
      <xdr:colOff>95933</xdr:colOff>
      <xdr:row>34</xdr:row>
      <xdr:rowOff>85795</xdr:rowOff>
    </xdr:to>
    <xdr:grpSp>
      <xdr:nvGrpSpPr>
        <xdr:cNvPr id="139" name="Group 138">
          <a:extLst>
            <a:ext uri="{FF2B5EF4-FFF2-40B4-BE49-F238E27FC236}">
              <a16:creationId xmlns:a16="http://schemas.microsoft.com/office/drawing/2014/main" id="{AB7D6275-B448-443B-AF5F-EB68DCACBA7C}"/>
            </a:ext>
          </a:extLst>
        </xdr:cNvPr>
        <xdr:cNvGrpSpPr/>
      </xdr:nvGrpSpPr>
      <xdr:grpSpPr>
        <a:xfrm>
          <a:off x="238125" y="4886361"/>
          <a:ext cx="3363008" cy="1676434"/>
          <a:chOff x="457200" y="4632221"/>
          <a:chExt cx="3585662" cy="1681145"/>
        </a:xfrm>
      </xdr:grpSpPr>
      <xdr:grpSp>
        <xdr:nvGrpSpPr>
          <xdr:cNvPr id="144" name="Group 143">
            <a:extLst>
              <a:ext uri="{FF2B5EF4-FFF2-40B4-BE49-F238E27FC236}">
                <a16:creationId xmlns:a16="http://schemas.microsoft.com/office/drawing/2014/main" id="{CFEC9E2B-FC76-4B94-B859-8FFDF7ADF057}"/>
              </a:ext>
            </a:extLst>
          </xdr:cNvPr>
          <xdr:cNvGrpSpPr/>
        </xdr:nvGrpSpPr>
        <xdr:grpSpPr>
          <a:xfrm>
            <a:off x="457200" y="4632221"/>
            <a:ext cx="3585662" cy="1681145"/>
            <a:chOff x="605339" y="111137667"/>
            <a:chExt cx="3585662" cy="1676434"/>
          </a:xfrm>
        </xdr:grpSpPr>
        <xdr:grpSp>
          <xdr:nvGrpSpPr>
            <xdr:cNvPr id="146" name="Group 145">
              <a:extLst>
                <a:ext uri="{FF2B5EF4-FFF2-40B4-BE49-F238E27FC236}">
                  <a16:creationId xmlns:a16="http://schemas.microsoft.com/office/drawing/2014/main" id="{8DDC5419-7A30-47E1-8011-A230AFBCDC46}"/>
                </a:ext>
              </a:extLst>
            </xdr:cNvPr>
            <xdr:cNvGrpSpPr/>
          </xdr:nvGrpSpPr>
          <xdr:grpSpPr>
            <a:xfrm>
              <a:off x="605339" y="111137667"/>
              <a:ext cx="3585662" cy="1676434"/>
              <a:chOff x="605339" y="111137667"/>
              <a:chExt cx="3585662" cy="1676434"/>
            </a:xfrm>
          </xdr:grpSpPr>
          <xdr:grpSp>
            <xdr:nvGrpSpPr>
              <xdr:cNvPr id="148" name="Group 147">
                <a:extLst>
                  <a:ext uri="{FF2B5EF4-FFF2-40B4-BE49-F238E27FC236}">
                    <a16:creationId xmlns:a16="http://schemas.microsoft.com/office/drawing/2014/main" id="{D4AD78DD-632F-4F99-AAB2-8E2A319F2FD0}"/>
                  </a:ext>
                </a:extLst>
              </xdr:cNvPr>
              <xdr:cNvGrpSpPr/>
            </xdr:nvGrpSpPr>
            <xdr:grpSpPr>
              <a:xfrm>
                <a:off x="605339" y="111137667"/>
                <a:ext cx="3585662" cy="1640532"/>
                <a:chOff x="1312044" y="110405058"/>
                <a:chExt cx="3605385" cy="1631014"/>
              </a:xfrm>
            </xdr:grpSpPr>
            <xdr:sp macro="" textlink="">
              <xdr:nvSpPr>
                <xdr:cNvPr id="164" name="Freeform 778">
                  <a:extLst>
                    <a:ext uri="{FF2B5EF4-FFF2-40B4-BE49-F238E27FC236}">
                      <a16:creationId xmlns:a16="http://schemas.microsoft.com/office/drawing/2014/main" id="{1AB8423A-C7FC-4BB6-ABDB-73EB92F9088A}"/>
                    </a:ext>
                  </a:extLst>
                </xdr:cNvPr>
                <xdr:cNvSpPr/>
              </xdr:nvSpPr>
              <xdr:spPr>
                <a:xfrm>
                  <a:off x="1912652" y="111591730"/>
                  <a:ext cx="435194" cy="263266"/>
                </a:xfrm>
                <a:custGeom>
                  <a:avLst/>
                  <a:gdLst>
                    <a:gd name="connsiteX0" fmla="*/ 0 w 404812"/>
                    <a:gd name="connsiteY0" fmla="*/ 0 h 264319"/>
                    <a:gd name="connsiteX1" fmla="*/ 404812 w 404812"/>
                    <a:gd name="connsiteY1" fmla="*/ 0 h 264319"/>
                    <a:gd name="connsiteX2" fmla="*/ 404812 w 404812"/>
                    <a:gd name="connsiteY2" fmla="*/ 264319 h 264319"/>
                    <a:gd name="connsiteX3" fmla="*/ 73819 w 404812"/>
                    <a:gd name="connsiteY3" fmla="*/ 264319 h 264319"/>
                    <a:gd name="connsiteX4" fmla="*/ 0 w 404812"/>
                    <a:gd name="connsiteY4" fmla="*/ 0 h 26431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404812" h="264319">
                      <a:moveTo>
                        <a:pt x="0" y="0"/>
                      </a:moveTo>
                      <a:lnTo>
                        <a:pt x="404812" y="0"/>
                      </a:lnTo>
                      <a:lnTo>
                        <a:pt x="404812" y="264319"/>
                      </a:lnTo>
                      <a:lnTo>
                        <a:pt x="73819" y="264319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952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cxnSp macro="">
              <xdr:nvCxnSpPr>
                <xdr:cNvPr id="165" name="Straight Connector 164">
                  <a:extLst>
                    <a:ext uri="{FF2B5EF4-FFF2-40B4-BE49-F238E27FC236}">
                      <a16:creationId xmlns:a16="http://schemas.microsoft.com/office/drawing/2014/main" id="{F1D2F943-C22E-4A14-B0F7-73CC12EAE367}"/>
                    </a:ext>
                  </a:extLst>
                </xdr:cNvPr>
                <xdr:cNvCxnSpPr/>
              </xdr:nvCxnSpPr>
              <xdr:spPr>
                <a:xfrm>
                  <a:off x="1581900" y="111446165"/>
                  <a:ext cx="2863842" cy="0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  <a:prstDash val="sysDot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166" name="Group 165">
                  <a:extLst>
                    <a:ext uri="{FF2B5EF4-FFF2-40B4-BE49-F238E27FC236}">
                      <a16:creationId xmlns:a16="http://schemas.microsoft.com/office/drawing/2014/main" id="{32437EFF-842E-4496-827E-A2680F50A643}"/>
                    </a:ext>
                  </a:extLst>
                </xdr:cNvPr>
                <xdr:cNvGrpSpPr/>
              </xdr:nvGrpSpPr>
              <xdr:grpSpPr>
                <a:xfrm>
                  <a:off x="1312044" y="110405058"/>
                  <a:ext cx="3605385" cy="1631014"/>
                  <a:chOff x="1312044" y="110405058"/>
                  <a:chExt cx="3605385" cy="1631014"/>
                </a:xfrm>
              </xdr:grpSpPr>
              <xdr:grpSp>
                <xdr:nvGrpSpPr>
                  <xdr:cNvPr id="167" name="Group 166">
                    <a:extLst>
                      <a:ext uri="{FF2B5EF4-FFF2-40B4-BE49-F238E27FC236}">
                        <a16:creationId xmlns:a16="http://schemas.microsoft.com/office/drawing/2014/main" id="{67294A15-7879-4E32-A600-6CE0DB3AAC90}"/>
                      </a:ext>
                    </a:extLst>
                  </xdr:cNvPr>
                  <xdr:cNvGrpSpPr/>
                </xdr:nvGrpSpPr>
                <xdr:grpSpPr>
                  <a:xfrm>
                    <a:off x="1312044" y="110405058"/>
                    <a:ext cx="3605385" cy="1631014"/>
                    <a:chOff x="1305466" y="111018111"/>
                    <a:chExt cx="3585824" cy="1639995"/>
                  </a:xfrm>
                </xdr:grpSpPr>
                <xdr:grpSp>
                  <xdr:nvGrpSpPr>
                    <xdr:cNvPr id="203" name="Group 202">
                      <a:extLst>
                        <a:ext uri="{FF2B5EF4-FFF2-40B4-BE49-F238E27FC236}">
                          <a16:creationId xmlns:a16="http://schemas.microsoft.com/office/drawing/2014/main" id="{790939ED-C050-433B-BB6C-4C9305A84BC5}"/>
                        </a:ext>
                      </a:extLst>
                    </xdr:cNvPr>
                    <xdr:cNvGrpSpPr/>
                  </xdr:nvGrpSpPr>
                  <xdr:grpSpPr>
                    <a:xfrm>
                      <a:off x="1305466" y="111018111"/>
                      <a:ext cx="3585824" cy="1639995"/>
                      <a:chOff x="4455319" y="111901820"/>
                      <a:chExt cx="4372486" cy="1963538"/>
                    </a:xfrm>
                  </xdr:grpSpPr>
                  <xdr:sp macro="" textlink="">
                    <xdr:nvSpPr>
                      <xdr:cNvPr id="206" name="Freeform 819">
                        <a:extLst>
                          <a:ext uri="{FF2B5EF4-FFF2-40B4-BE49-F238E27FC236}">
                            <a16:creationId xmlns:a16="http://schemas.microsoft.com/office/drawing/2014/main" id="{E5FE192C-9960-4699-8681-29EC53D5D072}"/>
                          </a:ext>
                        </a:extLst>
                      </xdr:cNvPr>
                      <xdr:cNvSpPr/>
                    </xdr:nvSpPr>
                    <xdr:spPr>
                      <a:xfrm>
                        <a:off x="5634037" y="112206541"/>
                        <a:ext cx="152837" cy="1658817"/>
                      </a:xfrm>
                      <a:custGeom>
                        <a:avLst/>
                        <a:gdLst>
                          <a:gd name="connsiteX0" fmla="*/ 73478 w 155121"/>
                          <a:gd name="connsiteY0" fmla="*/ 0 h 1687286"/>
                          <a:gd name="connsiteX1" fmla="*/ 73478 w 155121"/>
                          <a:gd name="connsiteY1" fmla="*/ 767443 h 1687286"/>
                          <a:gd name="connsiteX2" fmla="*/ 155121 w 155121"/>
                          <a:gd name="connsiteY2" fmla="*/ 767443 h 1687286"/>
                          <a:gd name="connsiteX3" fmla="*/ 0 w 155121"/>
                          <a:gd name="connsiteY3" fmla="*/ 808265 h 1687286"/>
                          <a:gd name="connsiteX4" fmla="*/ 78921 w 155121"/>
                          <a:gd name="connsiteY4" fmla="*/ 808265 h 1687286"/>
                          <a:gd name="connsiteX5" fmla="*/ 78921 w 155121"/>
                          <a:gd name="connsiteY5" fmla="*/ 1687286 h 1687286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  <a:cxn ang="0">
                            <a:pos x="connsiteX5" y="connsiteY5"/>
                          </a:cxn>
                        </a:cxnLst>
                        <a:rect l="l" t="t" r="r" b="b"/>
                        <a:pathLst>
                          <a:path w="155121" h="1687286">
                            <a:moveTo>
                              <a:pt x="73478" y="0"/>
                            </a:moveTo>
                            <a:lnTo>
                              <a:pt x="73478" y="767443"/>
                            </a:lnTo>
                            <a:lnTo>
                              <a:pt x="155121" y="767443"/>
                            </a:lnTo>
                            <a:lnTo>
                              <a:pt x="0" y="808265"/>
                            </a:lnTo>
                            <a:lnTo>
                              <a:pt x="78921" y="808265"/>
                            </a:lnTo>
                            <a:lnTo>
                              <a:pt x="78921" y="1687286"/>
                            </a:lnTo>
                          </a:path>
                        </a:pathLst>
                      </a:custGeom>
                      <a:noFill/>
                      <a:ln w="3175"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grpSp>
                    <xdr:nvGrpSpPr>
                      <xdr:cNvPr id="207" name="Group 206">
                        <a:extLst>
                          <a:ext uri="{FF2B5EF4-FFF2-40B4-BE49-F238E27FC236}">
                            <a16:creationId xmlns:a16="http://schemas.microsoft.com/office/drawing/2014/main" id="{01D4D8A2-7723-457B-BEBE-8F1DB78245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455319" y="111901820"/>
                        <a:ext cx="4372486" cy="1781015"/>
                        <a:chOff x="4455319" y="113931566"/>
                        <a:chExt cx="4372486" cy="1809057"/>
                      </a:xfrm>
                    </xdr:grpSpPr>
                    <xdr:sp macro="" textlink="">
                      <xdr:nvSpPr>
                        <xdr:cNvPr id="208" name="Freeform 821">
                          <a:extLst>
                            <a:ext uri="{FF2B5EF4-FFF2-40B4-BE49-F238E27FC236}">
                              <a16:creationId xmlns:a16="http://schemas.microsoft.com/office/drawing/2014/main" id="{01B08659-51EB-4914-8CDF-99801C85F99D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4455319" y="114423825"/>
                          <a:ext cx="1254919" cy="278606"/>
                        </a:xfrm>
                        <a:custGeom>
                          <a:avLst/>
                          <a:gdLst>
                            <a:gd name="connsiteX0" fmla="*/ 373856 w 1254919"/>
                            <a:gd name="connsiteY0" fmla="*/ 278606 h 278606"/>
                            <a:gd name="connsiteX1" fmla="*/ 1254919 w 1254919"/>
                            <a:gd name="connsiteY1" fmla="*/ 278606 h 278606"/>
                            <a:gd name="connsiteX2" fmla="*/ 1254919 w 1254919"/>
                            <a:gd name="connsiteY2" fmla="*/ 0 h 278606"/>
                            <a:gd name="connsiteX3" fmla="*/ 0 w 1254919"/>
                            <a:gd name="connsiteY3" fmla="*/ 0 h 278606"/>
                            <a:gd name="connsiteX4" fmla="*/ 0 w 1254919"/>
                            <a:gd name="connsiteY4" fmla="*/ 202406 h 278606"/>
                            <a:gd name="connsiteX5" fmla="*/ 297656 w 1254919"/>
                            <a:gd name="connsiteY5" fmla="*/ 202406 h 278606"/>
                            <a:gd name="connsiteX6" fmla="*/ 373856 w 1254919"/>
                            <a:gd name="connsiteY6" fmla="*/ 278606 h 278606"/>
                          </a:gdLst>
                          <a:ahLst/>
                          <a:cxnLst>
                            <a:cxn ang="0">
                              <a:pos x="connsiteX0" y="connsiteY0"/>
                            </a:cxn>
                            <a:cxn ang="0">
                              <a:pos x="connsiteX1" y="connsiteY1"/>
                            </a:cxn>
                            <a:cxn ang="0">
                              <a:pos x="connsiteX2" y="connsiteY2"/>
                            </a:cxn>
                            <a:cxn ang="0">
                              <a:pos x="connsiteX3" y="connsiteY3"/>
                            </a:cxn>
                            <a:cxn ang="0">
                              <a:pos x="connsiteX4" y="connsiteY4"/>
                            </a:cxn>
                            <a:cxn ang="0">
                              <a:pos x="connsiteX5" y="connsiteY5"/>
                            </a:cxn>
                            <a:cxn ang="0">
                              <a:pos x="connsiteX6" y="connsiteY6"/>
                            </a:cxn>
                          </a:cxnLst>
                          <a:rect l="l" t="t" r="r" b="b"/>
                          <a:pathLst>
                            <a:path w="1254919" h="278606">
                              <a:moveTo>
                                <a:pt x="373856" y="278606"/>
                              </a:moveTo>
                              <a:lnTo>
                                <a:pt x="1254919" y="278606"/>
                              </a:lnTo>
                              <a:lnTo>
                                <a:pt x="1254919" y="0"/>
                              </a:lnTo>
                              <a:lnTo>
                                <a:pt x="0" y="0"/>
                              </a:lnTo>
                              <a:lnTo>
                                <a:pt x="0" y="202406"/>
                              </a:lnTo>
                              <a:lnTo>
                                <a:pt x="297656" y="202406"/>
                              </a:lnTo>
                              <a:lnTo>
                                <a:pt x="373856" y="278606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6">
                            <a:lumMod val="40000"/>
                            <a:lumOff val="60000"/>
                          </a:schemeClr>
                        </a:solidFill>
                        <a:ln w="1270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grpSp>
                      <xdr:nvGrpSpPr>
                        <xdr:cNvPr id="209" name="그룹 26">
                          <a:extLst>
                            <a:ext uri="{FF2B5EF4-FFF2-40B4-BE49-F238E27FC236}">
                              <a16:creationId xmlns:a16="http://schemas.microsoft.com/office/drawing/2014/main" id="{051F7208-0C1D-4B61-AE7F-707D1883D50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4822940" y="113931566"/>
                          <a:ext cx="4004865" cy="1809057"/>
                          <a:chOff x="2971800" y="-369065"/>
                          <a:chExt cx="3482750" cy="1811352"/>
                        </a:xfrm>
                      </xdr:grpSpPr>
                      <xdr:grpSp>
                        <xdr:nvGrpSpPr>
                          <xdr:cNvPr id="210" name="그룹 7">
                            <a:extLst>
                              <a:ext uri="{FF2B5EF4-FFF2-40B4-BE49-F238E27FC236}">
                                <a16:creationId xmlns:a16="http://schemas.microsoft.com/office/drawing/2014/main" id="{D396DD8C-16B6-4B31-A7C9-8E94C6A20DB9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971800" y="381000"/>
                            <a:ext cx="773686" cy="1061287"/>
                            <a:chOff x="2971800" y="381000"/>
                            <a:chExt cx="773686" cy="1061287"/>
                          </a:xfrm>
                        </xdr:grpSpPr>
                        <xdr:cxnSp macro="">
                          <xdr:nvCxnSpPr>
                            <xdr:cNvPr id="212" name="직선 연결선 3">
                              <a:extLst>
                                <a:ext uri="{FF2B5EF4-FFF2-40B4-BE49-F238E27FC236}">
                                  <a16:creationId xmlns:a16="http://schemas.microsoft.com/office/drawing/2014/main" id="{2C550F79-19B3-471E-9163-92A04CCA1469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3207515" y="1442287"/>
                              <a:ext cx="537971" cy="0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13" name="직선 연결선 4">
                              <a:extLst>
                                <a:ext uri="{FF2B5EF4-FFF2-40B4-BE49-F238E27FC236}">
                                  <a16:creationId xmlns:a16="http://schemas.microsoft.com/office/drawing/2014/main" id="{FF15850B-6DC6-42F3-B3FC-01A4ADE3D5DB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 flipV="1">
                              <a:off x="3121216" y="388272"/>
                              <a:ext cx="247294" cy="1050604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14" name="직선 연결선 6">
                              <a:extLst>
                                <a:ext uri="{FF2B5EF4-FFF2-40B4-BE49-F238E27FC236}">
                                  <a16:creationId xmlns:a16="http://schemas.microsoft.com/office/drawing/2014/main" id="{FD9DA0EB-CC6B-48BB-8CC2-3D1FD5A732C3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2971800" y="381000"/>
                              <a:ext cx="363653" cy="0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211" name="TextBox 210">
                            <a:extLst>
                              <a:ext uri="{FF2B5EF4-FFF2-40B4-BE49-F238E27FC236}">
                                <a16:creationId xmlns:a16="http://schemas.microsoft.com/office/drawing/2014/main" id="{1B11C50C-9689-461B-BC1E-43AEDB8B8A1E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163767" y="-369065"/>
                            <a:ext cx="2290783" cy="285098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ko-KR" altLang="en-US" sz="900"/>
                              <a:t>정모멘트                      부모멘트</a:t>
                            </a:r>
                            <a:endParaRPr lang="en-US" sz="900"/>
                          </a:p>
                        </xdr:txBody>
                      </xdr:sp>
                    </xdr:grpSp>
                  </xdr:grpSp>
                </xdr:grpSp>
                <xdr:cxnSp macro="">
                  <xdr:nvCxnSpPr>
                    <xdr:cNvPr id="204" name="Straight Connector 203">
                      <a:extLst>
                        <a:ext uri="{FF2B5EF4-FFF2-40B4-BE49-F238E27FC236}">
                          <a16:creationId xmlns:a16="http://schemas.microsoft.com/office/drawing/2014/main" id="{8D7AB07B-B491-42A8-9E21-73B073F74D3A}"/>
                        </a:ext>
                      </a:extLst>
                    </xdr:cNvPr>
                    <xdr:cNvCxnSpPr/>
                  </xdr:nvCxnSpPr>
                  <xdr:spPr>
                    <a:xfrm>
                      <a:off x="1318569" y="111473457"/>
                      <a:ext cx="1009511" cy="0"/>
                    </a:xfrm>
                    <a:prstGeom prst="line">
                      <a:avLst/>
                    </a:prstGeom>
                    <a:ln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05" name="Straight Connector 204">
                      <a:extLst>
                        <a:ext uri="{FF2B5EF4-FFF2-40B4-BE49-F238E27FC236}">
                          <a16:creationId xmlns:a16="http://schemas.microsoft.com/office/drawing/2014/main" id="{E3FFE88B-E87D-43F5-A199-BCBEF119A230}"/>
                        </a:ext>
                      </a:extLst>
                    </xdr:cNvPr>
                    <xdr:cNvCxnSpPr/>
                  </xdr:nvCxnSpPr>
                  <xdr:spPr>
                    <a:xfrm>
                      <a:off x="1316831" y="111540132"/>
                      <a:ext cx="1009511" cy="0"/>
                    </a:xfrm>
                    <a:prstGeom prst="line">
                      <a:avLst/>
                    </a:prstGeom>
                    <a:ln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168" name="Group 167">
                    <a:extLst>
                      <a:ext uri="{FF2B5EF4-FFF2-40B4-BE49-F238E27FC236}">
                        <a16:creationId xmlns:a16="http://schemas.microsoft.com/office/drawing/2014/main" id="{F2386827-C5E3-4F74-9BC5-2FDAB8BE991D}"/>
                      </a:ext>
                    </a:extLst>
                  </xdr:cNvPr>
                  <xdr:cNvGrpSpPr/>
                </xdr:nvGrpSpPr>
                <xdr:grpSpPr>
                  <a:xfrm>
                    <a:off x="1956245" y="110808798"/>
                    <a:ext cx="2636208" cy="1106721"/>
                    <a:chOff x="1956245" y="110808798"/>
                    <a:chExt cx="2636208" cy="1106721"/>
                  </a:xfrm>
                </xdr:grpSpPr>
                <xdr:grpSp>
                  <xdr:nvGrpSpPr>
                    <xdr:cNvPr id="169" name="Group 168">
                      <a:extLst>
                        <a:ext uri="{FF2B5EF4-FFF2-40B4-BE49-F238E27FC236}">
                          <a16:creationId xmlns:a16="http://schemas.microsoft.com/office/drawing/2014/main" id="{93F986E3-4643-4717-AF25-EBEECE5D915E}"/>
                        </a:ext>
                      </a:extLst>
                    </xdr:cNvPr>
                    <xdr:cNvGrpSpPr/>
                  </xdr:nvGrpSpPr>
                  <xdr:grpSpPr>
                    <a:xfrm>
                      <a:off x="2563376" y="110808798"/>
                      <a:ext cx="608230" cy="1106721"/>
                      <a:chOff x="2549129" y="111423449"/>
                      <a:chExt cx="606512" cy="1113069"/>
                    </a:xfrm>
                  </xdr:grpSpPr>
                  <xdr:cxnSp macro="">
                    <xdr:nvCxnSpPr>
                      <xdr:cNvPr id="191" name="Straight Connector 190">
                        <a:extLst>
                          <a:ext uri="{FF2B5EF4-FFF2-40B4-BE49-F238E27FC236}">
                            <a16:creationId xmlns:a16="http://schemas.microsoft.com/office/drawing/2014/main" id="{C96B1A3F-4807-41FC-87E0-95662C67D1EC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862263" y="111423450"/>
                        <a:ext cx="0" cy="1109204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92" name="Straight Connector 191">
                        <a:extLst>
                          <a:ext uri="{FF2B5EF4-FFF2-40B4-BE49-F238E27FC236}">
                            <a16:creationId xmlns:a16="http://schemas.microsoft.com/office/drawing/2014/main" id="{C2F94A1C-9D45-4329-9C7E-2D047CBF1FC5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862263" y="111604425"/>
                        <a:ext cx="293378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93" name="Straight Connector 192">
                        <a:extLst>
                          <a:ext uri="{FF2B5EF4-FFF2-40B4-BE49-F238E27FC236}">
                            <a16:creationId xmlns:a16="http://schemas.microsoft.com/office/drawing/2014/main" id="{C00BA93F-CAE6-424B-8ACE-00E14C77D32B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549129" y="112531047"/>
                        <a:ext cx="321816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94" name="Straight Connector 193">
                        <a:extLst>
                          <a:ext uri="{FF2B5EF4-FFF2-40B4-BE49-F238E27FC236}">
                            <a16:creationId xmlns:a16="http://schemas.microsoft.com/office/drawing/2014/main" id="{1706C635-01FA-491B-BA90-A18F4844AE37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2549129" y="111610002"/>
                        <a:ext cx="604125" cy="926516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95" name="Straight Connector 194">
                        <a:extLst>
                          <a:ext uri="{FF2B5EF4-FFF2-40B4-BE49-F238E27FC236}">
                            <a16:creationId xmlns:a16="http://schemas.microsoft.com/office/drawing/2014/main" id="{2A6F721C-ED2B-4446-B12E-8BB38514F49C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2983706" y="111423450"/>
                        <a:ext cx="91914" cy="183357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96" name="Straight Connector 195">
                        <a:extLst>
                          <a:ext uri="{FF2B5EF4-FFF2-40B4-BE49-F238E27FC236}">
                            <a16:creationId xmlns:a16="http://schemas.microsoft.com/office/drawing/2014/main" id="{26095A72-E0D6-4424-893F-E45B64DD944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854877" y="111423449"/>
                        <a:ext cx="228935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grpSp>
                    <xdr:nvGrpSpPr>
                      <xdr:cNvPr id="197" name="Group 196">
                        <a:extLst>
                          <a:ext uri="{FF2B5EF4-FFF2-40B4-BE49-F238E27FC236}">
                            <a16:creationId xmlns:a16="http://schemas.microsoft.com/office/drawing/2014/main" id="{18EAA156-57C8-4C3D-A9CD-6BB27AAA472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2718174" y="112342031"/>
                        <a:ext cx="100013" cy="100013"/>
                        <a:chOff x="2718174" y="112342031"/>
                        <a:chExt cx="100013" cy="100013"/>
                      </a:xfrm>
                    </xdr:grpSpPr>
                    <xdr:sp macro="" textlink="">
                      <xdr:nvSpPr>
                        <xdr:cNvPr id="201" name="Plus 814">
                          <a:extLst>
                            <a:ext uri="{FF2B5EF4-FFF2-40B4-BE49-F238E27FC236}">
                              <a16:creationId xmlns:a16="http://schemas.microsoft.com/office/drawing/2014/main" id="{1258096F-2088-486C-ACD7-5412959B36CD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725319" y="112349170"/>
                          <a:ext cx="88106" cy="88106"/>
                        </a:xfrm>
                        <a:prstGeom prst="mathPlus">
                          <a:avLst>
                            <a:gd name="adj1" fmla="val 26462"/>
                          </a:avLst>
                        </a:prstGeom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sp macro="" textlink="">
                      <xdr:nvSpPr>
                        <xdr:cNvPr id="202" name="Oval 201">
                          <a:extLst>
                            <a:ext uri="{FF2B5EF4-FFF2-40B4-BE49-F238E27FC236}">
                              <a16:creationId xmlns:a16="http://schemas.microsoft.com/office/drawing/2014/main" id="{A0788391-A4F8-45B6-AF36-F512D928133C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718174" y="112342031"/>
                          <a:ext cx="100013" cy="100013"/>
                        </a:xfrm>
                        <a:prstGeom prst="ellipse">
                          <a:avLst/>
                        </a:prstGeom>
                        <a:noFill/>
                        <a:ln w="635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</xdr:grpSp>
                  <xdr:grpSp>
                    <xdr:nvGrpSpPr>
                      <xdr:cNvPr id="198" name="Group 197">
                        <a:extLst>
                          <a:ext uri="{FF2B5EF4-FFF2-40B4-BE49-F238E27FC236}">
                            <a16:creationId xmlns:a16="http://schemas.microsoft.com/office/drawing/2014/main" id="{E2EDAEFC-BCB9-4403-A064-A1AB7C9EE2F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2913726" y="111687893"/>
                        <a:ext cx="100013" cy="107156"/>
                        <a:chOff x="2913726" y="111685512"/>
                        <a:chExt cx="100013" cy="107156"/>
                      </a:xfrm>
                    </xdr:grpSpPr>
                    <xdr:sp macro="" textlink="">
                      <xdr:nvSpPr>
                        <xdr:cNvPr id="199" name="Oval 198">
                          <a:extLst>
                            <a:ext uri="{FF2B5EF4-FFF2-40B4-BE49-F238E27FC236}">
                              <a16:creationId xmlns:a16="http://schemas.microsoft.com/office/drawing/2014/main" id="{4F71ABAC-E9D5-436E-9CB3-4F102B51C66C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913726" y="111685512"/>
                          <a:ext cx="100013" cy="100013"/>
                        </a:xfrm>
                        <a:prstGeom prst="ellipse">
                          <a:avLst/>
                        </a:prstGeom>
                        <a:noFill/>
                        <a:ln w="635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sp macro="" textlink="">
                      <xdr:nvSpPr>
                        <xdr:cNvPr id="200" name="Minus 813">
                          <a:extLst>
                            <a:ext uri="{FF2B5EF4-FFF2-40B4-BE49-F238E27FC236}">
                              <a16:creationId xmlns:a16="http://schemas.microsoft.com/office/drawing/2014/main" id="{27479F83-01ED-4150-BA52-417D7D323DE9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930394" y="111685512"/>
                          <a:ext cx="69055" cy="107156"/>
                        </a:xfrm>
                        <a:prstGeom prst="mathMinus">
                          <a:avLst/>
                        </a:prstGeom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</xdr:grpSp>
                </xdr:grpSp>
                <xdr:grpSp>
                  <xdr:nvGrpSpPr>
                    <xdr:cNvPr id="170" name="Group 169">
                      <a:extLst>
                        <a:ext uri="{FF2B5EF4-FFF2-40B4-BE49-F238E27FC236}">
                          <a16:creationId xmlns:a16="http://schemas.microsoft.com/office/drawing/2014/main" id="{3F4B4B10-BA81-47AA-9E0E-2467C53AAF3D}"/>
                        </a:ext>
                      </a:extLst>
                    </xdr:cNvPr>
                    <xdr:cNvGrpSpPr/>
                  </xdr:nvGrpSpPr>
                  <xdr:grpSpPr>
                    <a:xfrm>
                      <a:off x="3911486" y="110852167"/>
                      <a:ext cx="680967" cy="1060954"/>
                      <a:chOff x="3097452" y="111465489"/>
                      <a:chExt cx="677594" cy="1066262"/>
                    </a:xfrm>
                  </xdr:grpSpPr>
                  <xdr:cxnSp macro="">
                    <xdr:nvCxnSpPr>
                      <xdr:cNvPr id="180" name="Straight Connector 179">
                        <a:extLst>
                          <a:ext uri="{FF2B5EF4-FFF2-40B4-BE49-F238E27FC236}">
                            <a16:creationId xmlns:a16="http://schemas.microsoft.com/office/drawing/2014/main" id="{D5B62F7F-068D-4221-92D1-8E207A52EE62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474576" y="111471074"/>
                        <a:ext cx="0" cy="1057276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81" name="Straight Connector 180">
                        <a:extLst>
                          <a:ext uri="{FF2B5EF4-FFF2-40B4-BE49-F238E27FC236}">
                            <a16:creationId xmlns:a16="http://schemas.microsoft.com/office/drawing/2014/main" id="{DFEA7F32-37DA-4069-A1E7-69AD50DFDC25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187997" y="111604425"/>
                        <a:ext cx="286576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82" name="Straight Connector 181">
                        <a:extLst>
                          <a:ext uri="{FF2B5EF4-FFF2-40B4-BE49-F238E27FC236}">
                            <a16:creationId xmlns:a16="http://schemas.microsoft.com/office/drawing/2014/main" id="{C2CFD6EB-6E15-40FE-9C19-A019BE7EF96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472167" y="112525968"/>
                        <a:ext cx="299578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83" name="Straight Connector 182">
                        <a:extLst>
                          <a:ext uri="{FF2B5EF4-FFF2-40B4-BE49-F238E27FC236}">
                            <a16:creationId xmlns:a16="http://schemas.microsoft.com/office/drawing/2014/main" id="{A10958EB-5C5E-4933-80C6-A7AC7DB47EA5}"/>
                          </a:ext>
                        </a:extLst>
                      </xdr:cNvPr>
                      <xdr:cNvCxnSpPr/>
                    </xdr:nvCxnSpPr>
                    <xdr:spPr>
                      <a:xfrm flipH="1" flipV="1">
                        <a:off x="3097452" y="111465489"/>
                        <a:ext cx="677594" cy="1066262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84" name="Straight Connector 183">
                        <a:extLst>
                          <a:ext uri="{FF2B5EF4-FFF2-40B4-BE49-F238E27FC236}">
                            <a16:creationId xmlns:a16="http://schemas.microsoft.com/office/drawing/2014/main" id="{363962CB-EBD1-4232-B3FC-9506C3984C78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099852" y="111471074"/>
                        <a:ext cx="374737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grpSp>
                    <xdr:nvGrpSpPr>
                      <xdr:cNvPr id="185" name="Group 184">
                        <a:extLst>
                          <a:ext uri="{FF2B5EF4-FFF2-40B4-BE49-F238E27FC236}">
                            <a16:creationId xmlns:a16="http://schemas.microsoft.com/office/drawing/2014/main" id="{F0099D11-83B9-49A5-A709-D25C90CAE393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335984" y="111680284"/>
                        <a:ext cx="100013" cy="100013"/>
                        <a:chOff x="3335984" y="111680284"/>
                        <a:chExt cx="100013" cy="100013"/>
                      </a:xfrm>
                    </xdr:grpSpPr>
                    <xdr:sp macro="" textlink="">
                      <xdr:nvSpPr>
                        <xdr:cNvPr id="189" name="Plus 802">
                          <a:extLst>
                            <a:ext uri="{FF2B5EF4-FFF2-40B4-BE49-F238E27FC236}">
                              <a16:creationId xmlns:a16="http://schemas.microsoft.com/office/drawing/2014/main" id="{3DE8675C-EF3B-4F37-848D-A3E89C951B3E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3343136" y="111687429"/>
                          <a:ext cx="88106" cy="88106"/>
                        </a:xfrm>
                        <a:prstGeom prst="mathPlus">
                          <a:avLst>
                            <a:gd name="adj1" fmla="val 26462"/>
                          </a:avLst>
                        </a:prstGeom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sp macro="" textlink="">
                      <xdr:nvSpPr>
                        <xdr:cNvPr id="190" name="Oval 189">
                          <a:extLst>
                            <a:ext uri="{FF2B5EF4-FFF2-40B4-BE49-F238E27FC236}">
                              <a16:creationId xmlns:a16="http://schemas.microsoft.com/office/drawing/2014/main" id="{0956DDBD-6FF9-47ED-9179-41A8AD0FD19A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3335984" y="111680284"/>
                          <a:ext cx="100013" cy="100013"/>
                        </a:xfrm>
                        <a:prstGeom prst="ellipse">
                          <a:avLst/>
                        </a:prstGeom>
                        <a:noFill/>
                        <a:ln w="635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</xdr:grpSp>
                  <xdr:grpSp>
                    <xdr:nvGrpSpPr>
                      <xdr:cNvPr id="186" name="Group 185">
                        <a:extLst>
                          <a:ext uri="{FF2B5EF4-FFF2-40B4-BE49-F238E27FC236}">
                            <a16:creationId xmlns:a16="http://schemas.microsoft.com/office/drawing/2014/main" id="{89961AAE-347E-4EB3-A939-AF63494F001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491247" y="112340241"/>
                        <a:ext cx="100013" cy="107156"/>
                        <a:chOff x="3491247" y="112337860"/>
                        <a:chExt cx="100013" cy="107156"/>
                      </a:xfrm>
                    </xdr:grpSpPr>
                    <xdr:sp macro="" textlink="">
                      <xdr:nvSpPr>
                        <xdr:cNvPr id="187" name="Oval 186">
                          <a:extLst>
                            <a:ext uri="{FF2B5EF4-FFF2-40B4-BE49-F238E27FC236}">
                              <a16:creationId xmlns:a16="http://schemas.microsoft.com/office/drawing/2014/main" id="{F423020B-2501-47F1-84D9-97234B8B0168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3491247" y="112337860"/>
                          <a:ext cx="100013" cy="100013"/>
                        </a:xfrm>
                        <a:prstGeom prst="ellipse">
                          <a:avLst/>
                        </a:prstGeom>
                        <a:noFill/>
                        <a:ln w="635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sp macro="" textlink="">
                      <xdr:nvSpPr>
                        <xdr:cNvPr id="188" name="Minus 801">
                          <a:extLst>
                            <a:ext uri="{FF2B5EF4-FFF2-40B4-BE49-F238E27FC236}">
                              <a16:creationId xmlns:a16="http://schemas.microsoft.com/office/drawing/2014/main" id="{C78B5A67-CF4E-496D-A7CB-3FF084C4170E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3507928" y="112337860"/>
                          <a:ext cx="69055" cy="107156"/>
                        </a:xfrm>
                        <a:prstGeom prst="mathMinus">
                          <a:avLst/>
                        </a:prstGeom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</xdr:grpSp>
                </xdr:grpSp>
                <xdr:cxnSp macro="">
                  <xdr:nvCxnSpPr>
                    <xdr:cNvPr id="171" name="Straight Connector 170">
                      <a:extLst>
                        <a:ext uri="{FF2B5EF4-FFF2-40B4-BE49-F238E27FC236}">
                          <a16:creationId xmlns:a16="http://schemas.microsoft.com/office/drawing/2014/main" id="{9153374C-9967-46AA-8F73-3B85D881EAD0}"/>
                        </a:ext>
                      </a:extLst>
                    </xdr:cNvPr>
                    <xdr:cNvCxnSpPr/>
                  </xdr:nvCxnSpPr>
                  <xdr:spPr>
                    <a:xfrm>
                      <a:off x="2350477" y="111912701"/>
                      <a:ext cx="1930056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2" name="Straight Connector 171">
                      <a:extLst>
                        <a:ext uri="{FF2B5EF4-FFF2-40B4-BE49-F238E27FC236}">
                          <a16:creationId xmlns:a16="http://schemas.microsoft.com/office/drawing/2014/main" id="{B3D7A210-16FB-403F-9961-FCA8CB8486E1}"/>
                        </a:ext>
                      </a:extLst>
                    </xdr:cNvPr>
                    <xdr:cNvCxnSpPr/>
                  </xdr:nvCxnSpPr>
                  <xdr:spPr>
                    <a:xfrm>
                      <a:off x="1956245" y="110991349"/>
                      <a:ext cx="2041754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3" name="Straight Connector 172">
                      <a:extLst>
                        <a:ext uri="{FF2B5EF4-FFF2-40B4-BE49-F238E27FC236}">
                          <a16:creationId xmlns:a16="http://schemas.microsoft.com/office/drawing/2014/main" id="{D3755BDA-8A7F-49B8-AA12-89516AF4D3E6}"/>
                        </a:ext>
                      </a:extLst>
                    </xdr:cNvPr>
                    <xdr:cNvCxnSpPr/>
                  </xdr:nvCxnSpPr>
                  <xdr:spPr>
                    <a:xfrm>
                      <a:off x="2333559" y="110857753"/>
                      <a:ext cx="1580637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4" name="Straight Connector 173">
                      <a:extLst>
                        <a:ext uri="{FF2B5EF4-FFF2-40B4-BE49-F238E27FC236}">
                          <a16:creationId xmlns:a16="http://schemas.microsoft.com/office/drawing/2014/main" id="{35A1D541-CAC2-4793-8890-D3E16FB3EFF0}"/>
                        </a:ext>
                      </a:extLst>
                    </xdr:cNvPr>
                    <xdr:cNvCxnSpPr/>
                  </xdr:nvCxnSpPr>
                  <xdr:spPr>
                    <a:xfrm>
                      <a:off x="2347846" y="110811179"/>
                      <a:ext cx="530704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5" name="Straight Connector 174">
                      <a:extLst>
                        <a:ext uri="{FF2B5EF4-FFF2-40B4-BE49-F238E27FC236}">
                          <a16:creationId xmlns:a16="http://schemas.microsoft.com/office/drawing/2014/main" id="{1F50DDE8-0AAB-4F62-873E-D89429676E75}"/>
                        </a:ext>
                      </a:extLst>
                    </xdr:cNvPr>
                    <xdr:cNvCxnSpPr/>
                  </xdr:nvCxnSpPr>
                  <xdr:spPr>
                    <a:xfrm>
                      <a:off x="2338321" y="111591730"/>
                      <a:ext cx="1942211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6" name="Straight Connector 175">
                      <a:extLst>
                        <a:ext uri="{FF2B5EF4-FFF2-40B4-BE49-F238E27FC236}">
                          <a16:creationId xmlns:a16="http://schemas.microsoft.com/office/drawing/2014/main" id="{2BCFADDC-4D57-4036-9DA7-BB8C6C6910A5}"/>
                        </a:ext>
                      </a:extLst>
                    </xdr:cNvPr>
                    <xdr:cNvCxnSpPr/>
                  </xdr:nvCxnSpPr>
                  <xdr:spPr>
                    <a:xfrm>
                      <a:off x="2328796" y="111852614"/>
                      <a:ext cx="1958919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7" name="Straight Connector 176">
                      <a:extLst>
                        <a:ext uri="{FF2B5EF4-FFF2-40B4-BE49-F238E27FC236}">
                          <a16:creationId xmlns:a16="http://schemas.microsoft.com/office/drawing/2014/main" id="{3667C6C6-AAE1-4DA7-BF1C-EF43766718A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4313765" y="111588707"/>
                      <a:ext cx="170017" cy="262871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8" name="Straight Connector 177">
                      <a:extLst>
                        <a:ext uri="{FF2B5EF4-FFF2-40B4-BE49-F238E27FC236}">
                          <a16:creationId xmlns:a16="http://schemas.microsoft.com/office/drawing/2014/main" id="{FDED5685-3653-46A9-9021-EAF13F0CB856}"/>
                        </a:ext>
                      </a:extLst>
                    </xdr:cNvPr>
                    <xdr:cNvCxnSpPr/>
                  </xdr:nvCxnSpPr>
                  <xdr:spPr>
                    <a:xfrm>
                      <a:off x="4287941" y="111852614"/>
                      <a:ext cx="203045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9" name="Straight Connector 178">
                      <a:extLst>
                        <a:ext uri="{FF2B5EF4-FFF2-40B4-BE49-F238E27FC236}">
                          <a16:creationId xmlns:a16="http://schemas.microsoft.com/office/drawing/2014/main" id="{8F3060A1-4855-4D7B-B65F-B772CF2A6535}"/>
                        </a:ext>
                      </a:extLst>
                    </xdr:cNvPr>
                    <xdr:cNvCxnSpPr/>
                  </xdr:nvCxnSpPr>
                  <xdr:spPr>
                    <a:xfrm>
                      <a:off x="4290322" y="111594111"/>
                      <a:ext cx="28575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</xdr:grpSp>
          <xdr:grpSp>
            <xdr:nvGrpSpPr>
              <xdr:cNvPr id="149" name="Group 148">
                <a:extLst>
                  <a:ext uri="{FF2B5EF4-FFF2-40B4-BE49-F238E27FC236}">
                    <a16:creationId xmlns:a16="http://schemas.microsoft.com/office/drawing/2014/main" id="{75355588-0ED4-4742-B8AD-E3918F3966A6}"/>
                  </a:ext>
                </a:extLst>
              </xdr:cNvPr>
              <xdr:cNvGrpSpPr/>
            </xdr:nvGrpSpPr>
            <xdr:grpSpPr>
              <a:xfrm>
                <a:off x="1707358" y="111409163"/>
                <a:ext cx="2352674" cy="1404938"/>
                <a:chOff x="1707358" y="111409163"/>
                <a:chExt cx="2352674" cy="1404938"/>
              </a:xfrm>
            </xdr:grpSpPr>
            <xdr:sp macro="" textlink="">
              <xdr:nvSpPr>
                <xdr:cNvPr id="150" name="Oval 149">
                  <a:extLst>
                    <a:ext uri="{FF2B5EF4-FFF2-40B4-BE49-F238E27FC236}">
                      <a16:creationId xmlns:a16="http://schemas.microsoft.com/office/drawing/2014/main" id="{BB1068BC-A4DD-4A8A-8D83-533A5AB7EBB9}"/>
                    </a:ext>
                  </a:extLst>
                </xdr:cNvPr>
                <xdr:cNvSpPr/>
              </xdr:nvSpPr>
              <xdr:spPr>
                <a:xfrm>
                  <a:off x="3826669" y="112611220"/>
                  <a:ext cx="66675" cy="66675"/>
                </a:xfrm>
                <a:prstGeom prst="ellipse">
                  <a:avLst/>
                </a:prstGeom>
                <a:solidFill>
                  <a:srgbClr val="FF00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151" name="Group 150">
                  <a:extLst>
                    <a:ext uri="{FF2B5EF4-FFF2-40B4-BE49-F238E27FC236}">
                      <a16:creationId xmlns:a16="http://schemas.microsoft.com/office/drawing/2014/main" id="{55B03CC0-6BBB-4E7C-B4A1-98A9E6986178}"/>
                    </a:ext>
                  </a:extLst>
                </xdr:cNvPr>
                <xdr:cNvGrpSpPr/>
              </xdr:nvGrpSpPr>
              <xdr:grpSpPr>
                <a:xfrm>
                  <a:off x="1707358" y="111409163"/>
                  <a:ext cx="2352674" cy="1404938"/>
                  <a:chOff x="1707358" y="111409163"/>
                  <a:chExt cx="2352674" cy="1404938"/>
                </a:xfrm>
              </xdr:grpSpPr>
              <xdr:sp macro="" textlink="">
                <xdr:nvSpPr>
                  <xdr:cNvPr id="152" name="Oval 151">
                    <a:extLst>
                      <a:ext uri="{FF2B5EF4-FFF2-40B4-BE49-F238E27FC236}">
                        <a16:creationId xmlns:a16="http://schemas.microsoft.com/office/drawing/2014/main" id="{90175C1A-90F5-4D33-8ECC-3B84BD184E57}"/>
                      </a:ext>
                    </a:extLst>
                  </xdr:cNvPr>
                  <xdr:cNvSpPr/>
                </xdr:nvSpPr>
                <xdr:spPr>
                  <a:xfrm>
                    <a:off x="1828800" y="112611219"/>
                    <a:ext cx="66675" cy="66675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53" name="Oval 152">
                    <a:extLst>
                      <a:ext uri="{FF2B5EF4-FFF2-40B4-BE49-F238E27FC236}">
                        <a16:creationId xmlns:a16="http://schemas.microsoft.com/office/drawing/2014/main" id="{5270B688-A50C-45BB-895F-E13FC0E79706}"/>
                      </a:ext>
                    </a:extLst>
                  </xdr:cNvPr>
                  <xdr:cNvSpPr/>
                </xdr:nvSpPr>
                <xdr:spPr>
                  <a:xfrm>
                    <a:off x="2409825" y="111697294"/>
                    <a:ext cx="66675" cy="66675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54" name="Oval 153">
                    <a:extLst>
                      <a:ext uri="{FF2B5EF4-FFF2-40B4-BE49-F238E27FC236}">
                        <a16:creationId xmlns:a16="http://schemas.microsoft.com/office/drawing/2014/main" id="{4547DCEE-ED54-4687-B36F-DDBB426DD17E}"/>
                      </a:ext>
                    </a:extLst>
                  </xdr:cNvPr>
                  <xdr:cNvSpPr/>
                </xdr:nvSpPr>
                <xdr:spPr>
                  <a:xfrm>
                    <a:off x="2340769" y="111513463"/>
                    <a:ext cx="66675" cy="66675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55" name="Oval 154">
                    <a:extLst>
                      <a:ext uri="{FF2B5EF4-FFF2-40B4-BE49-F238E27FC236}">
                        <a16:creationId xmlns:a16="http://schemas.microsoft.com/office/drawing/2014/main" id="{A2AED2F6-D7FF-4936-84FD-B0B723B5EF11}"/>
                      </a:ext>
                    </a:extLst>
                  </xdr:cNvPr>
                  <xdr:cNvSpPr/>
                </xdr:nvSpPr>
                <xdr:spPr>
                  <a:xfrm>
                    <a:off x="3162301" y="111563470"/>
                    <a:ext cx="66675" cy="66675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56" name="Oval 155">
                    <a:extLst>
                      <a:ext uri="{FF2B5EF4-FFF2-40B4-BE49-F238E27FC236}">
                        <a16:creationId xmlns:a16="http://schemas.microsoft.com/office/drawing/2014/main" id="{779D8CFD-F2FA-4A6C-9312-58202C2B5E82}"/>
                      </a:ext>
                    </a:extLst>
                  </xdr:cNvPr>
                  <xdr:cNvSpPr/>
                </xdr:nvSpPr>
                <xdr:spPr>
                  <a:xfrm>
                    <a:off x="3717132" y="112554069"/>
                    <a:ext cx="66675" cy="66675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57" name="TextBox 156">
                    <a:extLst>
                      <a:ext uri="{FF2B5EF4-FFF2-40B4-BE49-F238E27FC236}">
                        <a16:creationId xmlns:a16="http://schemas.microsoft.com/office/drawing/2014/main" id="{E5048E94-8CAE-4ACA-A428-4A4EE742C397}"/>
                      </a:ext>
                    </a:extLst>
                  </xdr:cNvPr>
                  <xdr:cNvSpPr txBox="1"/>
                </xdr:nvSpPr>
                <xdr:spPr>
                  <a:xfrm>
                    <a:off x="1707358" y="112640270"/>
                    <a:ext cx="32146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①</a:t>
                    </a:r>
                    <a:endParaRPr lang="en-US" sz="900"/>
                  </a:p>
                </xdr:txBody>
              </xdr:sp>
              <xdr:sp macro="" textlink="">
                <xdr:nvSpPr>
                  <xdr:cNvPr id="158" name="TextBox 157">
                    <a:extLst>
                      <a:ext uri="{FF2B5EF4-FFF2-40B4-BE49-F238E27FC236}">
                        <a16:creationId xmlns:a16="http://schemas.microsoft.com/office/drawing/2014/main" id="{0F5B70DB-A65B-4590-ABF5-D9E72F4C7726}"/>
                      </a:ext>
                    </a:extLst>
                  </xdr:cNvPr>
                  <xdr:cNvSpPr txBox="1"/>
                </xdr:nvSpPr>
                <xdr:spPr>
                  <a:xfrm>
                    <a:off x="2357436" y="111697294"/>
                    <a:ext cx="26193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②</a:t>
                    </a:r>
                    <a:endParaRPr lang="en-US" sz="900"/>
                  </a:p>
                </xdr:txBody>
              </xdr:sp>
              <xdr:sp macro="" textlink="">
                <xdr:nvSpPr>
                  <xdr:cNvPr id="159" name="TextBox 158">
                    <a:extLst>
                      <a:ext uri="{FF2B5EF4-FFF2-40B4-BE49-F238E27FC236}">
                        <a16:creationId xmlns:a16="http://schemas.microsoft.com/office/drawing/2014/main" id="{BEC53669-867C-41E8-A3C3-C6A0FC7BD382}"/>
                      </a:ext>
                    </a:extLst>
                  </xdr:cNvPr>
                  <xdr:cNvSpPr txBox="1"/>
                </xdr:nvSpPr>
                <xdr:spPr>
                  <a:xfrm>
                    <a:off x="2319337" y="111409163"/>
                    <a:ext cx="32146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③</a:t>
                    </a:r>
                    <a:endParaRPr lang="en-US" sz="900"/>
                  </a:p>
                </xdr:txBody>
              </xdr:sp>
              <xdr:sp macro="" textlink="">
                <xdr:nvSpPr>
                  <xdr:cNvPr id="160" name="TextBox 159">
                    <a:extLst>
                      <a:ext uri="{FF2B5EF4-FFF2-40B4-BE49-F238E27FC236}">
                        <a16:creationId xmlns:a16="http://schemas.microsoft.com/office/drawing/2014/main" id="{57A5907B-7EC7-40BA-AE3F-24EDFA310A40}"/>
                      </a:ext>
                    </a:extLst>
                  </xdr:cNvPr>
                  <xdr:cNvSpPr txBox="1"/>
                </xdr:nvSpPr>
                <xdr:spPr>
                  <a:xfrm>
                    <a:off x="3050379" y="111683007"/>
                    <a:ext cx="242888" cy="17859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①</a:t>
                    </a:r>
                    <a:endParaRPr lang="en-US" sz="900"/>
                  </a:p>
                </xdr:txBody>
              </xdr:sp>
              <xdr:sp macro="" textlink="">
                <xdr:nvSpPr>
                  <xdr:cNvPr id="161" name="TextBox 160">
                    <a:extLst>
                      <a:ext uri="{FF2B5EF4-FFF2-40B4-BE49-F238E27FC236}">
                        <a16:creationId xmlns:a16="http://schemas.microsoft.com/office/drawing/2014/main" id="{D0BB723C-A5A1-4A93-94FA-81D299ED39D9}"/>
                      </a:ext>
                    </a:extLst>
                  </xdr:cNvPr>
                  <xdr:cNvSpPr txBox="1"/>
                </xdr:nvSpPr>
                <xdr:spPr>
                  <a:xfrm>
                    <a:off x="3798094" y="112592645"/>
                    <a:ext cx="26193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②</a:t>
                    </a:r>
                    <a:endParaRPr lang="en-US" sz="900"/>
                  </a:p>
                </xdr:txBody>
              </xdr:sp>
              <xdr:sp macro="" textlink="">
                <xdr:nvSpPr>
                  <xdr:cNvPr id="162" name="TextBox 161">
                    <a:extLst>
                      <a:ext uri="{FF2B5EF4-FFF2-40B4-BE49-F238E27FC236}">
                        <a16:creationId xmlns:a16="http://schemas.microsoft.com/office/drawing/2014/main" id="{59D365B3-F6C2-4D7F-BB75-6582ACF35125}"/>
                      </a:ext>
                    </a:extLst>
                  </xdr:cNvPr>
                  <xdr:cNvSpPr txBox="1"/>
                </xdr:nvSpPr>
                <xdr:spPr>
                  <a:xfrm>
                    <a:off x="3698082" y="112387856"/>
                    <a:ext cx="26193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④</a:t>
                    </a:r>
                    <a:endParaRPr lang="en-US" sz="900"/>
                  </a:p>
                </xdr:txBody>
              </xdr:sp>
              <xdr:sp macro="" textlink="">
                <xdr:nvSpPr>
                  <xdr:cNvPr id="163" name="TextBox 162">
                    <a:extLst>
                      <a:ext uri="{FF2B5EF4-FFF2-40B4-BE49-F238E27FC236}">
                        <a16:creationId xmlns:a16="http://schemas.microsoft.com/office/drawing/2014/main" id="{271CC478-8169-424A-BEC1-510729916B8F}"/>
                      </a:ext>
                    </a:extLst>
                  </xdr:cNvPr>
                  <xdr:cNvSpPr txBox="1"/>
                </xdr:nvSpPr>
                <xdr:spPr>
                  <a:xfrm>
                    <a:off x="2981325" y="111418688"/>
                    <a:ext cx="26193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⑤</a:t>
                    </a:r>
                    <a:endParaRPr lang="en-US" sz="900"/>
                  </a:p>
                </xdr:txBody>
              </xdr:sp>
            </xdr:grpSp>
          </xdr:grpSp>
        </xdr:grpSp>
        <xdr:sp macro="" textlink="">
          <xdr:nvSpPr>
            <xdr:cNvPr id="147" name="Oval 146">
              <a:extLst>
                <a:ext uri="{FF2B5EF4-FFF2-40B4-BE49-F238E27FC236}">
                  <a16:creationId xmlns:a16="http://schemas.microsoft.com/office/drawing/2014/main" id="{73950624-8B69-49EB-9A19-5F555E5AC596}"/>
                </a:ext>
              </a:extLst>
            </xdr:cNvPr>
            <xdr:cNvSpPr/>
          </xdr:nvSpPr>
          <xdr:spPr>
            <a:xfrm>
              <a:off x="3243262" y="111692531"/>
              <a:ext cx="66675" cy="66675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41" name="Group 140">
            <a:extLst>
              <a:ext uri="{FF2B5EF4-FFF2-40B4-BE49-F238E27FC236}">
                <a16:creationId xmlns:a16="http://schemas.microsoft.com/office/drawing/2014/main" id="{B9EDA5AA-ED8E-455C-A3BF-4BFFE765CFCA}"/>
              </a:ext>
            </a:extLst>
          </xdr:cNvPr>
          <xdr:cNvGrpSpPr/>
        </xdr:nvGrpSpPr>
        <xdr:grpSpPr>
          <a:xfrm>
            <a:off x="2043688" y="5094828"/>
            <a:ext cx="99748" cy="107468"/>
            <a:chOff x="2381250" y="5348654"/>
            <a:chExt cx="99748" cy="107468"/>
          </a:xfrm>
        </xdr:grpSpPr>
        <xdr:sp macro="" textlink="">
          <xdr:nvSpPr>
            <xdr:cNvPr id="142" name="Oval 141">
              <a:extLst>
                <a:ext uri="{FF2B5EF4-FFF2-40B4-BE49-F238E27FC236}">
                  <a16:creationId xmlns:a16="http://schemas.microsoft.com/office/drawing/2014/main" id="{63677972-0493-40F4-8ED9-3A840C6F373D}"/>
                </a:ext>
              </a:extLst>
            </xdr:cNvPr>
            <xdr:cNvSpPr/>
          </xdr:nvSpPr>
          <xdr:spPr>
            <a:xfrm>
              <a:off x="2381250" y="5348654"/>
              <a:ext cx="99748" cy="100304"/>
            </a:xfrm>
            <a:prstGeom prst="ellipse">
              <a:avLst/>
            </a:prstGeom>
            <a:noFill/>
            <a:ln w="63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43" name="Minus 574">
              <a:extLst>
                <a:ext uri="{FF2B5EF4-FFF2-40B4-BE49-F238E27FC236}">
                  <a16:creationId xmlns:a16="http://schemas.microsoft.com/office/drawing/2014/main" id="{4E287E00-7BDE-4F40-A673-A875E53B4DB0}"/>
                </a:ext>
              </a:extLst>
            </xdr:cNvPr>
            <xdr:cNvSpPr/>
          </xdr:nvSpPr>
          <xdr:spPr>
            <a:xfrm>
              <a:off x="2397874" y="5348654"/>
              <a:ext cx="68872" cy="107468"/>
            </a:xfrm>
            <a:prstGeom prst="mathMinus">
              <a:avLst/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0</xdr:col>
      <xdr:colOff>289717</xdr:colOff>
      <xdr:row>69</xdr:row>
      <xdr:rowOff>27334</xdr:rowOff>
    </xdr:from>
    <xdr:to>
      <xdr:col>5</xdr:col>
      <xdr:colOff>97227</xdr:colOff>
      <xdr:row>78</xdr:row>
      <xdr:rowOff>115117</xdr:rowOff>
    </xdr:to>
    <xdr:grpSp>
      <xdr:nvGrpSpPr>
        <xdr:cNvPr id="215" name="Group 214">
          <a:extLst>
            <a:ext uri="{FF2B5EF4-FFF2-40B4-BE49-F238E27FC236}">
              <a16:creationId xmlns:a16="http://schemas.microsoft.com/office/drawing/2014/main" id="{6D55D3C0-C8C2-45E0-A8E7-D0A7676ECFB1}"/>
            </a:ext>
          </a:extLst>
        </xdr:cNvPr>
        <xdr:cNvGrpSpPr/>
      </xdr:nvGrpSpPr>
      <xdr:grpSpPr>
        <a:xfrm>
          <a:off x="289717" y="13171834"/>
          <a:ext cx="1998260" cy="1802283"/>
          <a:chOff x="280192" y="12781422"/>
          <a:chExt cx="1900468" cy="1813660"/>
        </a:xfrm>
      </xdr:grpSpPr>
      <xdr:grpSp>
        <xdr:nvGrpSpPr>
          <xdr:cNvPr id="216" name="Group 215">
            <a:extLst>
              <a:ext uri="{FF2B5EF4-FFF2-40B4-BE49-F238E27FC236}">
                <a16:creationId xmlns:a16="http://schemas.microsoft.com/office/drawing/2014/main" id="{539F03C3-9DBE-4A4C-9D2C-6E9DBE07B08E}"/>
              </a:ext>
            </a:extLst>
          </xdr:cNvPr>
          <xdr:cNvGrpSpPr/>
        </xdr:nvGrpSpPr>
        <xdr:grpSpPr>
          <a:xfrm>
            <a:off x="280192" y="12781422"/>
            <a:ext cx="1900468" cy="1813660"/>
            <a:chOff x="280192" y="12716611"/>
            <a:chExt cx="1900468" cy="1804043"/>
          </a:xfrm>
        </xdr:grpSpPr>
        <xdr:sp macro="" textlink="">
          <xdr:nvSpPr>
            <xdr:cNvPr id="220" name="Freeform 394">
              <a:extLst>
                <a:ext uri="{FF2B5EF4-FFF2-40B4-BE49-F238E27FC236}">
                  <a16:creationId xmlns:a16="http://schemas.microsoft.com/office/drawing/2014/main" id="{22B52EEB-4C59-4D55-B61E-3E2676389F88}"/>
                </a:ext>
              </a:extLst>
            </xdr:cNvPr>
            <xdr:cNvSpPr/>
          </xdr:nvSpPr>
          <xdr:spPr>
            <a:xfrm>
              <a:off x="1102518" y="13811249"/>
              <a:ext cx="442912" cy="250031"/>
            </a:xfrm>
            <a:custGeom>
              <a:avLst/>
              <a:gdLst>
                <a:gd name="connsiteX0" fmla="*/ 0 w 442912"/>
                <a:gd name="connsiteY0" fmla="*/ 0 h 250031"/>
                <a:gd name="connsiteX1" fmla="*/ 442912 w 442912"/>
                <a:gd name="connsiteY1" fmla="*/ 0 h 250031"/>
                <a:gd name="connsiteX2" fmla="*/ 442912 w 442912"/>
                <a:gd name="connsiteY2" fmla="*/ 250031 h 250031"/>
                <a:gd name="connsiteX3" fmla="*/ 61912 w 442912"/>
                <a:gd name="connsiteY3" fmla="*/ 250031 h 250031"/>
                <a:gd name="connsiteX4" fmla="*/ 0 w 442912"/>
                <a:gd name="connsiteY4" fmla="*/ 0 h 2500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42912" h="250031">
                  <a:moveTo>
                    <a:pt x="0" y="0"/>
                  </a:moveTo>
                  <a:lnTo>
                    <a:pt x="442912" y="0"/>
                  </a:lnTo>
                  <a:lnTo>
                    <a:pt x="442912" y="250031"/>
                  </a:lnTo>
                  <a:lnTo>
                    <a:pt x="61912" y="250031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221" name="Group 220">
              <a:extLst>
                <a:ext uri="{FF2B5EF4-FFF2-40B4-BE49-F238E27FC236}">
                  <a16:creationId xmlns:a16="http://schemas.microsoft.com/office/drawing/2014/main" id="{949A158B-B3CB-44D6-9D35-301F7BA79D80}"/>
                </a:ext>
              </a:extLst>
            </xdr:cNvPr>
            <xdr:cNvGrpSpPr/>
          </xdr:nvGrpSpPr>
          <xdr:grpSpPr>
            <a:xfrm>
              <a:off x="280192" y="12716611"/>
              <a:ext cx="1900468" cy="1804043"/>
              <a:chOff x="280192" y="12716611"/>
              <a:chExt cx="1900468" cy="1804043"/>
            </a:xfrm>
          </xdr:grpSpPr>
          <xdr:grpSp>
            <xdr:nvGrpSpPr>
              <xdr:cNvPr id="222" name="Group 221">
                <a:extLst>
                  <a:ext uri="{FF2B5EF4-FFF2-40B4-BE49-F238E27FC236}">
                    <a16:creationId xmlns:a16="http://schemas.microsoft.com/office/drawing/2014/main" id="{434AD496-8752-4077-BDF3-5EB33159F070}"/>
                  </a:ext>
                </a:extLst>
              </xdr:cNvPr>
              <xdr:cNvGrpSpPr/>
            </xdr:nvGrpSpPr>
            <xdr:grpSpPr>
              <a:xfrm>
                <a:off x="280192" y="12716611"/>
                <a:ext cx="1900468" cy="1804043"/>
                <a:chOff x="280192" y="9668611"/>
                <a:chExt cx="1900468" cy="1804043"/>
              </a:xfrm>
            </xdr:grpSpPr>
            <xdr:sp macro="" textlink="">
              <xdr:nvSpPr>
                <xdr:cNvPr id="224" name="Freeform 101">
                  <a:extLst>
                    <a:ext uri="{FF2B5EF4-FFF2-40B4-BE49-F238E27FC236}">
                      <a16:creationId xmlns:a16="http://schemas.microsoft.com/office/drawing/2014/main" id="{469474D4-5725-41A3-A70A-C58DFA33CECC}"/>
                    </a:ext>
                  </a:extLst>
                </xdr:cNvPr>
                <xdr:cNvSpPr/>
              </xdr:nvSpPr>
              <xdr:spPr>
                <a:xfrm>
                  <a:off x="283369" y="9801224"/>
                  <a:ext cx="1259681" cy="273844"/>
                </a:xfrm>
                <a:custGeom>
                  <a:avLst/>
                  <a:gdLst>
                    <a:gd name="connsiteX0" fmla="*/ 295275 w 1259681"/>
                    <a:gd name="connsiteY0" fmla="*/ 195263 h 273844"/>
                    <a:gd name="connsiteX1" fmla="*/ 0 w 1259681"/>
                    <a:gd name="connsiteY1" fmla="*/ 195263 h 273844"/>
                    <a:gd name="connsiteX2" fmla="*/ 0 w 1259681"/>
                    <a:gd name="connsiteY2" fmla="*/ 0 h 273844"/>
                    <a:gd name="connsiteX3" fmla="*/ 1259681 w 1259681"/>
                    <a:gd name="connsiteY3" fmla="*/ 0 h 273844"/>
                    <a:gd name="connsiteX4" fmla="*/ 1259681 w 1259681"/>
                    <a:gd name="connsiteY4" fmla="*/ 273844 h 273844"/>
                    <a:gd name="connsiteX5" fmla="*/ 376237 w 1259681"/>
                    <a:gd name="connsiteY5" fmla="*/ 273844 h 273844"/>
                    <a:gd name="connsiteX6" fmla="*/ 295275 w 1259681"/>
                    <a:gd name="connsiteY6" fmla="*/ 195263 h 2738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259681" h="273844">
                      <a:moveTo>
                        <a:pt x="295275" y="195263"/>
                      </a:moveTo>
                      <a:lnTo>
                        <a:pt x="0" y="195263"/>
                      </a:lnTo>
                      <a:lnTo>
                        <a:pt x="0" y="0"/>
                      </a:lnTo>
                      <a:lnTo>
                        <a:pt x="1259681" y="0"/>
                      </a:lnTo>
                      <a:lnTo>
                        <a:pt x="1259681" y="273844"/>
                      </a:lnTo>
                      <a:lnTo>
                        <a:pt x="376237" y="273844"/>
                      </a:lnTo>
                      <a:lnTo>
                        <a:pt x="295275" y="195263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952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225" name="Group 224">
                  <a:extLst>
                    <a:ext uri="{FF2B5EF4-FFF2-40B4-BE49-F238E27FC236}">
                      <a16:creationId xmlns:a16="http://schemas.microsoft.com/office/drawing/2014/main" id="{3C161343-AAC5-4DA7-8B02-6D3414A299B7}"/>
                    </a:ext>
                  </a:extLst>
                </xdr:cNvPr>
                <xdr:cNvGrpSpPr/>
              </xdr:nvGrpSpPr>
              <xdr:grpSpPr>
                <a:xfrm>
                  <a:off x="280192" y="9668611"/>
                  <a:ext cx="1900468" cy="1804043"/>
                  <a:chOff x="331475" y="5194697"/>
                  <a:chExt cx="1885333" cy="1753240"/>
                </a:xfrm>
              </xdr:grpSpPr>
              <xdr:grpSp>
                <xdr:nvGrpSpPr>
                  <xdr:cNvPr id="226" name="Group 225">
                    <a:extLst>
                      <a:ext uri="{FF2B5EF4-FFF2-40B4-BE49-F238E27FC236}">
                        <a16:creationId xmlns:a16="http://schemas.microsoft.com/office/drawing/2014/main" id="{EDFC03F2-3EDE-4D2E-A3E6-6EDAEFAEC2D0}"/>
                      </a:ext>
                    </a:extLst>
                  </xdr:cNvPr>
                  <xdr:cNvGrpSpPr/>
                </xdr:nvGrpSpPr>
                <xdr:grpSpPr>
                  <a:xfrm>
                    <a:off x="331475" y="5194697"/>
                    <a:ext cx="1654536" cy="1479550"/>
                    <a:chOff x="331475" y="5194697"/>
                    <a:chExt cx="1654536" cy="1479550"/>
                  </a:xfrm>
                </xdr:grpSpPr>
                <xdr:grpSp>
                  <xdr:nvGrpSpPr>
                    <xdr:cNvPr id="228" name="Group 227">
                      <a:extLst>
                        <a:ext uri="{FF2B5EF4-FFF2-40B4-BE49-F238E27FC236}">
                          <a16:creationId xmlns:a16="http://schemas.microsoft.com/office/drawing/2014/main" id="{C52C4E9B-1906-412E-AED9-3102F97DC92E}"/>
                        </a:ext>
                      </a:extLst>
                    </xdr:cNvPr>
                    <xdr:cNvGrpSpPr/>
                  </xdr:nvGrpSpPr>
                  <xdr:grpSpPr>
                    <a:xfrm>
                      <a:off x="331475" y="5371988"/>
                      <a:ext cx="1654536" cy="1168853"/>
                      <a:chOff x="331501" y="5331957"/>
                      <a:chExt cx="1659981" cy="1160623"/>
                    </a:xfrm>
                  </xdr:grpSpPr>
                  <xdr:grpSp>
                    <xdr:nvGrpSpPr>
                      <xdr:cNvPr id="230" name="Group 229">
                        <a:extLst>
                          <a:ext uri="{FF2B5EF4-FFF2-40B4-BE49-F238E27FC236}">
                            <a16:creationId xmlns:a16="http://schemas.microsoft.com/office/drawing/2014/main" id="{43967501-8BDC-45D0-B102-76F1A2B348F6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31501" y="5331957"/>
                        <a:ext cx="1557511" cy="1160623"/>
                        <a:chOff x="331531" y="5428027"/>
                        <a:chExt cx="1563324" cy="1180376"/>
                      </a:xfrm>
                    </xdr:grpSpPr>
                    <xdr:grpSp>
                      <xdr:nvGrpSpPr>
                        <xdr:cNvPr id="233" name="Group 232">
                          <a:extLst>
                            <a:ext uri="{FF2B5EF4-FFF2-40B4-BE49-F238E27FC236}">
                              <a16:creationId xmlns:a16="http://schemas.microsoft.com/office/drawing/2014/main" id="{B608F523-A48C-4EA6-8AEA-B165642E2C2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31531" y="5428027"/>
                          <a:ext cx="1262807" cy="1180376"/>
                          <a:chOff x="1248160" y="5548001"/>
                          <a:chExt cx="1274121" cy="1169940"/>
                        </a:xfrm>
                      </xdr:grpSpPr>
                      <xdr:cxnSp macro="">
                        <xdr:nvCxnSpPr>
                          <xdr:cNvPr id="237" name="Straight Connector 236">
                            <a:extLst>
                              <a:ext uri="{FF2B5EF4-FFF2-40B4-BE49-F238E27FC236}">
                                <a16:creationId xmlns:a16="http://schemas.microsoft.com/office/drawing/2014/main" id="{18FDCEEA-056E-49CA-ABC3-90DF420B1B76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120348" y="5745078"/>
                            <a:ext cx="0" cy="10324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38" name="Straight Connector 237">
                            <a:extLst>
                              <a:ext uri="{FF2B5EF4-FFF2-40B4-BE49-F238E27FC236}">
                                <a16:creationId xmlns:a16="http://schemas.microsoft.com/office/drawing/2014/main" id="{10B9F096-C812-4E59-B296-66EA477D7EB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354971" y="5738129"/>
                            <a:ext cx="0" cy="10965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39" name="직선 연결선 255">
                            <a:extLst>
                              <a:ext uri="{FF2B5EF4-FFF2-40B4-BE49-F238E27FC236}">
                                <a16:creationId xmlns:a16="http://schemas.microsoft.com/office/drawing/2014/main" id="{12E26E10-B78C-4BE3-9C49-5F16BD9E5C38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 flipV="1">
                            <a:off x="1888666" y="5719181"/>
                            <a:ext cx="245662" cy="985849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40" name="직선 연결선 251">
                            <a:extLst>
                              <a:ext uri="{FF2B5EF4-FFF2-40B4-BE49-F238E27FC236}">
                                <a16:creationId xmlns:a16="http://schemas.microsoft.com/office/drawing/2014/main" id="{912FBE19-D497-4E58-9F23-37E8F5D1B379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735435" y="5719305"/>
                            <a:ext cx="786846" cy="0"/>
                          </a:xfrm>
                          <a:prstGeom prst="line">
                            <a:avLst/>
                          </a:prstGeom>
                          <a:ln w="10160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41" name="직선 연결선 238">
                            <a:extLst>
                              <a:ext uri="{FF2B5EF4-FFF2-40B4-BE49-F238E27FC236}">
                                <a16:creationId xmlns:a16="http://schemas.microsoft.com/office/drawing/2014/main" id="{7EC4DB38-AB4F-4C62-B045-A9B6436EE828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48160" y="5548001"/>
                            <a:ext cx="1270517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42" name="직선 연결선 239">
                            <a:extLst>
                              <a:ext uri="{FF2B5EF4-FFF2-40B4-BE49-F238E27FC236}">
                                <a16:creationId xmlns:a16="http://schemas.microsoft.com/office/drawing/2014/main" id="{183C9D14-D376-4B7D-A6FE-C279FC41ABD9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52048" y="5626011"/>
                            <a:ext cx="1266629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43" name="Straight Connector 242">
                            <a:extLst>
                              <a:ext uri="{FF2B5EF4-FFF2-40B4-BE49-F238E27FC236}">
                                <a16:creationId xmlns:a16="http://schemas.microsoft.com/office/drawing/2014/main" id="{2CDBAC3F-3731-496B-9D42-2482A447A6B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271316" y="6595617"/>
                            <a:ext cx="0" cy="122324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44" name="Straight Connector 243">
                            <a:extLst>
                              <a:ext uri="{FF2B5EF4-FFF2-40B4-BE49-F238E27FC236}">
                                <a16:creationId xmlns:a16="http://schemas.microsoft.com/office/drawing/2014/main" id="{15BCBF5A-C70A-4128-A2D2-6AB0F542152B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447414" y="6594729"/>
                            <a:ext cx="0" cy="106998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234" name="Straight Connector 233">
                          <a:extLst>
                            <a:ext uri="{FF2B5EF4-FFF2-40B4-BE49-F238E27FC236}">
                              <a16:creationId xmlns:a16="http://schemas.microsoft.com/office/drawing/2014/main" id="{CCD26784-D361-431A-BB89-86E0EDDF1BB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43207" y="6118795"/>
                          <a:ext cx="1251648" cy="0"/>
                        </a:xfrm>
                        <a:prstGeom prst="line">
                          <a:avLst/>
                        </a:prstGeom>
                        <a:ln>
                          <a:solidFill>
                            <a:srgbClr val="FF0000"/>
                          </a:solidFill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35" name="Straight Connector 234">
                          <a:extLst>
                            <a:ext uri="{FF2B5EF4-FFF2-40B4-BE49-F238E27FC236}">
                              <a16:creationId xmlns:a16="http://schemas.microsoft.com/office/drawing/2014/main" id="{4908D0D5-2DBE-4A2D-9A5A-28E184B81FA5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1613809" y="5646078"/>
                          <a:ext cx="188116" cy="0"/>
                        </a:xfrm>
                        <a:prstGeom prst="line">
                          <a:avLst/>
                        </a:prstGeom>
                        <a:ln w="3175"/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36" name="Straight Connector 235">
                          <a:extLst>
                            <a:ext uri="{FF2B5EF4-FFF2-40B4-BE49-F238E27FC236}">
                              <a16:creationId xmlns:a16="http://schemas.microsoft.com/office/drawing/2014/main" id="{F518808D-796F-453B-906F-639C15B4C72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796715" y="5645000"/>
                          <a:ext cx="0" cy="472431"/>
                        </a:xfrm>
                        <a:prstGeom prst="line">
                          <a:avLst/>
                        </a:prstGeom>
                        <a:ln w="3175">
                          <a:headEnd type="oval" w="sm" len="sm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31" name="TextBox 230">
                        <a:extLst>
                          <a:ext uri="{FF2B5EF4-FFF2-40B4-BE49-F238E27FC236}">
                            <a16:creationId xmlns:a16="http://schemas.microsoft.com/office/drawing/2014/main" id="{35480543-EE0E-401B-804F-56D9FC7966FB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86807" y="5834063"/>
                        <a:ext cx="425223" cy="15940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PNA</a:t>
                        </a:r>
                        <a:endParaRPr lang="en-US" sz="600"/>
                      </a:p>
                    </xdr:txBody>
                  </xdr:sp>
                  <xdr:sp macro="" textlink="">
                    <xdr:nvSpPr>
                      <xdr:cNvPr id="232" name="TextBox 231">
                        <a:extLst>
                          <a:ext uri="{FF2B5EF4-FFF2-40B4-BE49-F238E27FC236}">
                            <a16:creationId xmlns:a16="http://schemas.microsoft.com/office/drawing/2014/main" id="{9793A6D4-E2EE-4E77-AC94-2E81F785DA8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727843" y="5663975"/>
                        <a:ext cx="263639" cy="212612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Y</a:t>
                        </a:r>
                        <a:endParaRPr lang="en-US" sz="600"/>
                      </a:p>
                    </xdr:txBody>
                  </xdr:sp>
                </xdr:grpSp>
                <xdr:sp macro="" textlink="">
                  <xdr:nvSpPr>
                    <xdr:cNvPr id="229" name="Freeform 331">
                      <a:extLst>
                        <a:ext uri="{FF2B5EF4-FFF2-40B4-BE49-F238E27FC236}">
                          <a16:creationId xmlns:a16="http://schemas.microsoft.com/office/drawing/2014/main" id="{282B1EB9-593A-4BCB-A16E-67E236BDDFD6}"/>
                        </a:ext>
                      </a:extLst>
                    </xdr:cNvPr>
                    <xdr:cNvSpPr/>
                  </xdr:nvSpPr>
                  <xdr:spPr>
                    <a:xfrm>
                      <a:off x="1501379" y="5194697"/>
                      <a:ext cx="159147" cy="1479550"/>
                    </a:xfrm>
                    <a:custGeom>
                      <a:avLst/>
                      <a:gdLst>
                        <a:gd name="connsiteX0" fmla="*/ 83343 w 161925"/>
                        <a:gd name="connsiteY0" fmla="*/ 0 h 1495425"/>
                        <a:gd name="connsiteX1" fmla="*/ 83343 w 161925"/>
                        <a:gd name="connsiteY1" fmla="*/ 731044 h 1495425"/>
                        <a:gd name="connsiteX2" fmla="*/ 161925 w 161925"/>
                        <a:gd name="connsiteY2" fmla="*/ 731044 h 1495425"/>
                        <a:gd name="connsiteX3" fmla="*/ 0 w 161925"/>
                        <a:gd name="connsiteY3" fmla="*/ 757238 h 1495425"/>
                        <a:gd name="connsiteX4" fmla="*/ 88106 w 161925"/>
                        <a:gd name="connsiteY4" fmla="*/ 757238 h 1495425"/>
                        <a:gd name="connsiteX5" fmla="*/ 88106 w 161925"/>
                        <a:gd name="connsiteY5" fmla="*/ 1495425 h 14954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</a:cxnLst>
                      <a:rect l="l" t="t" r="r" b="b"/>
                      <a:pathLst>
                        <a:path w="161925" h="1495425">
                          <a:moveTo>
                            <a:pt x="83343" y="0"/>
                          </a:moveTo>
                          <a:lnTo>
                            <a:pt x="83343" y="731044"/>
                          </a:lnTo>
                          <a:lnTo>
                            <a:pt x="161925" y="731044"/>
                          </a:lnTo>
                          <a:lnTo>
                            <a:pt x="0" y="757238"/>
                          </a:lnTo>
                          <a:lnTo>
                            <a:pt x="88106" y="757238"/>
                          </a:lnTo>
                          <a:lnTo>
                            <a:pt x="88106" y="1495425"/>
                          </a:lnTo>
                        </a:path>
                      </a:pathLst>
                    </a:custGeom>
                    <a:noFill/>
                    <a:ln w="6350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sp macro="" textlink="">
                <xdr:nvSpPr>
                  <xdr:cNvPr id="227" name="TextBox 226">
                    <a:extLst>
                      <a:ext uri="{FF2B5EF4-FFF2-40B4-BE49-F238E27FC236}">
                        <a16:creationId xmlns:a16="http://schemas.microsoft.com/office/drawing/2014/main" id="{1A7ADEF7-406B-4775-89CE-FA23ED8C0CEC}"/>
                      </a:ext>
                    </a:extLst>
                  </xdr:cNvPr>
                  <xdr:cNvSpPr txBox="1"/>
                </xdr:nvSpPr>
                <xdr:spPr>
                  <a:xfrm>
                    <a:off x="788058" y="6749499"/>
                    <a:ext cx="1428750" cy="19843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Case 1, 8, a, b, c, d</a:t>
                    </a:r>
                    <a:endParaRPr lang="en-US" sz="600"/>
                  </a:p>
                </xdr:txBody>
              </xdr:sp>
            </xdr:grpSp>
          </xdr:grpSp>
          <xdr:cxnSp macro="">
            <xdr:nvCxnSpPr>
              <xdr:cNvPr id="223" name="직선 연결선 254">
                <a:extLst>
                  <a:ext uri="{FF2B5EF4-FFF2-40B4-BE49-F238E27FC236}">
                    <a16:creationId xmlns:a16="http://schemas.microsoft.com/office/drawing/2014/main" id="{33BB8B39-51EF-42FC-AEB8-E7060093B7CB}"/>
                  </a:ext>
                </a:extLst>
              </xdr:cNvPr>
              <xdr:cNvCxnSpPr/>
            </xdr:nvCxnSpPr>
            <xdr:spPr>
              <a:xfrm>
                <a:off x="997744" y="14097000"/>
                <a:ext cx="548317" cy="0"/>
              </a:xfrm>
              <a:prstGeom prst="line">
                <a:avLst/>
              </a:prstGeom>
              <a:ln w="889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217" name="직선 연결선 239">
            <a:extLst>
              <a:ext uri="{FF2B5EF4-FFF2-40B4-BE49-F238E27FC236}">
                <a16:creationId xmlns:a16="http://schemas.microsoft.com/office/drawing/2014/main" id="{FBFA7FB7-6224-423F-8421-08C767D8A33C}"/>
              </a:ext>
            </a:extLst>
          </xdr:cNvPr>
          <xdr:cNvCxnSpPr/>
        </xdr:nvCxnSpPr>
        <xdr:spPr>
          <a:xfrm>
            <a:off x="1142998" y="13955770"/>
            <a:ext cx="397670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" name="직선 연결선 239">
            <a:extLst>
              <a:ext uri="{FF2B5EF4-FFF2-40B4-BE49-F238E27FC236}">
                <a16:creationId xmlns:a16="http://schemas.microsoft.com/office/drawing/2014/main" id="{B45DE14A-9222-4D91-B91D-7BBAAC8F9F0B}"/>
              </a:ext>
            </a:extLst>
          </xdr:cNvPr>
          <xdr:cNvCxnSpPr/>
        </xdr:nvCxnSpPr>
        <xdr:spPr>
          <a:xfrm>
            <a:off x="1154906" y="14021046"/>
            <a:ext cx="385763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" name="직선 연결선 239">
            <a:extLst>
              <a:ext uri="{FF2B5EF4-FFF2-40B4-BE49-F238E27FC236}">
                <a16:creationId xmlns:a16="http://schemas.microsoft.com/office/drawing/2014/main" id="{32090118-B1D9-4364-84A3-5951E7BE6B0E}"/>
              </a:ext>
            </a:extLst>
          </xdr:cNvPr>
          <xdr:cNvCxnSpPr/>
        </xdr:nvCxnSpPr>
        <xdr:spPr>
          <a:xfrm>
            <a:off x="1175365" y="14090102"/>
            <a:ext cx="361517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436678</xdr:colOff>
      <xdr:row>69</xdr:row>
      <xdr:rowOff>3326</xdr:rowOff>
    </xdr:from>
    <xdr:to>
      <xdr:col>9</xdr:col>
      <xdr:colOff>435634</xdr:colOff>
      <xdr:row>78</xdr:row>
      <xdr:rowOff>129209</xdr:rowOff>
    </xdr:to>
    <xdr:grpSp>
      <xdr:nvGrpSpPr>
        <xdr:cNvPr id="245" name="Group 244">
          <a:extLst>
            <a:ext uri="{FF2B5EF4-FFF2-40B4-BE49-F238E27FC236}">
              <a16:creationId xmlns:a16="http://schemas.microsoft.com/office/drawing/2014/main" id="{D6098CE2-3F78-49B0-8CBA-7AB98E700693}"/>
            </a:ext>
          </a:extLst>
        </xdr:cNvPr>
        <xdr:cNvGrpSpPr/>
      </xdr:nvGrpSpPr>
      <xdr:grpSpPr>
        <a:xfrm>
          <a:off x="2189278" y="13147826"/>
          <a:ext cx="2189706" cy="1840383"/>
          <a:chOff x="2271048" y="12776461"/>
          <a:chExt cx="2190846" cy="1852000"/>
        </a:xfrm>
      </xdr:grpSpPr>
      <xdr:grpSp>
        <xdr:nvGrpSpPr>
          <xdr:cNvPr id="246" name="Group 245">
            <a:extLst>
              <a:ext uri="{FF2B5EF4-FFF2-40B4-BE49-F238E27FC236}">
                <a16:creationId xmlns:a16="http://schemas.microsoft.com/office/drawing/2014/main" id="{51CD61EF-E29B-424D-81C6-4D4F145F228A}"/>
              </a:ext>
            </a:extLst>
          </xdr:cNvPr>
          <xdr:cNvGrpSpPr/>
        </xdr:nvGrpSpPr>
        <xdr:grpSpPr>
          <a:xfrm>
            <a:off x="2271048" y="12776461"/>
            <a:ext cx="2190846" cy="1852000"/>
            <a:chOff x="258096" y="12716611"/>
            <a:chExt cx="2190846" cy="1842180"/>
          </a:xfrm>
        </xdr:grpSpPr>
        <xdr:sp macro="" textlink="">
          <xdr:nvSpPr>
            <xdr:cNvPr id="250" name="Freeform 625">
              <a:extLst>
                <a:ext uri="{FF2B5EF4-FFF2-40B4-BE49-F238E27FC236}">
                  <a16:creationId xmlns:a16="http://schemas.microsoft.com/office/drawing/2014/main" id="{AB4CC2E4-C784-46D2-A75A-0CC20519E3E1}"/>
                </a:ext>
              </a:extLst>
            </xdr:cNvPr>
            <xdr:cNvSpPr/>
          </xdr:nvSpPr>
          <xdr:spPr>
            <a:xfrm>
              <a:off x="1102518" y="13811249"/>
              <a:ext cx="442912" cy="250031"/>
            </a:xfrm>
            <a:custGeom>
              <a:avLst/>
              <a:gdLst>
                <a:gd name="connsiteX0" fmla="*/ 0 w 442912"/>
                <a:gd name="connsiteY0" fmla="*/ 0 h 250031"/>
                <a:gd name="connsiteX1" fmla="*/ 442912 w 442912"/>
                <a:gd name="connsiteY1" fmla="*/ 0 h 250031"/>
                <a:gd name="connsiteX2" fmla="*/ 442912 w 442912"/>
                <a:gd name="connsiteY2" fmla="*/ 250031 h 250031"/>
                <a:gd name="connsiteX3" fmla="*/ 61912 w 442912"/>
                <a:gd name="connsiteY3" fmla="*/ 250031 h 250031"/>
                <a:gd name="connsiteX4" fmla="*/ 0 w 442912"/>
                <a:gd name="connsiteY4" fmla="*/ 0 h 2500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42912" h="250031">
                  <a:moveTo>
                    <a:pt x="0" y="0"/>
                  </a:moveTo>
                  <a:lnTo>
                    <a:pt x="442912" y="0"/>
                  </a:lnTo>
                  <a:lnTo>
                    <a:pt x="442912" y="250031"/>
                  </a:lnTo>
                  <a:lnTo>
                    <a:pt x="61912" y="250031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251" name="Group 250">
              <a:extLst>
                <a:ext uri="{FF2B5EF4-FFF2-40B4-BE49-F238E27FC236}">
                  <a16:creationId xmlns:a16="http://schemas.microsoft.com/office/drawing/2014/main" id="{55BA997A-7F78-4C59-B755-282E99144CF8}"/>
                </a:ext>
              </a:extLst>
            </xdr:cNvPr>
            <xdr:cNvGrpSpPr/>
          </xdr:nvGrpSpPr>
          <xdr:grpSpPr>
            <a:xfrm>
              <a:off x="258096" y="12716611"/>
              <a:ext cx="2190846" cy="1842180"/>
              <a:chOff x="258096" y="12716611"/>
              <a:chExt cx="2190846" cy="1842180"/>
            </a:xfrm>
          </xdr:grpSpPr>
          <xdr:grpSp>
            <xdr:nvGrpSpPr>
              <xdr:cNvPr id="252" name="Group 251">
                <a:extLst>
                  <a:ext uri="{FF2B5EF4-FFF2-40B4-BE49-F238E27FC236}">
                    <a16:creationId xmlns:a16="http://schemas.microsoft.com/office/drawing/2014/main" id="{53867BAC-E7F2-4343-839B-09A3C05C636F}"/>
                  </a:ext>
                </a:extLst>
              </xdr:cNvPr>
              <xdr:cNvGrpSpPr/>
            </xdr:nvGrpSpPr>
            <xdr:grpSpPr>
              <a:xfrm>
                <a:off x="258096" y="12716611"/>
                <a:ext cx="2190846" cy="1842180"/>
                <a:chOff x="258096" y="9668611"/>
                <a:chExt cx="2190846" cy="1842180"/>
              </a:xfrm>
            </xdr:grpSpPr>
            <xdr:sp macro="" textlink="">
              <xdr:nvSpPr>
                <xdr:cNvPr id="254" name="Freeform 629">
                  <a:extLst>
                    <a:ext uri="{FF2B5EF4-FFF2-40B4-BE49-F238E27FC236}">
                      <a16:creationId xmlns:a16="http://schemas.microsoft.com/office/drawing/2014/main" id="{9C3575F6-A534-4C9E-8753-F66E04CFEC32}"/>
                    </a:ext>
                  </a:extLst>
                </xdr:cNvPr>
                <xdr:cNvSpPr/>
              </xdr:nvSpPr>
              <xdr:spPr>
                <a:xfrm>
                  <a:off x="283369" y="9801224"/>
                  <a:ext cx="1259681" cy="273844"/>
                </a:xfrm>
                <a:custGeom>
                  <a:avLst/>
                  <a:gdLst>
                    <a:gd name="connsiteX0" fmla="*/ 295275 w 1259681"/>
                    <a:gd name="connsiteY0" fmla="*/ 195263 h 273844"/>
                    <a:gd name="connsiteX1" fmla="*/ 0 w 1259681"/>
                    <a:gd name="connsiteY1" fmla="*/ 195263 h 273844"/>
                    <a:gd name="connsiteX2" fmla="*/ 0 w 1259681"/>
                    <a:gd name="connsiteY2" fmla="*/ 0 h 273844"/>
                    <a:gd name="connsiteX3" fmla="*/ 1259681 w 1259681"/>
                    <a:gd name="connsiteY3" fmla="*/ 0 h 273844"/>
                    <a:gd name="connsiteX4" fmla="*/ 1259681 w 1259681"/>
                    <a:gd name="connsiteY4" fmla="*/ 273844 h 273844"/>
                    <a:gd name="connsiteX5" fmla="*/ 376237 w 1259681"/>
                    <a:gd name="connsiteY5" fmla="*/ 273844 h 273844"/>
                    <a:gd name="connsiteX6" fmla="*/ 295275 w 1259681"/>
                    <a:gd name="connsiteY6" fmla="*/ 195263 h 2738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259681" h="273844">
                      <a:moveTo>
                        <a:pt x="295275" y="195263"/>
                      </a:moveTo>
                      <a:lnTo>
                        <a:pt x="0" y="195263"/>
                      </a:lnTo>
                      <a:lnTo>
                        <a:pt x="0" y="0"/>
                      </a:lnTo>
                      <a:lnTo>
                        <a:pt x="1259681" y="0"/>
                      </a:lnTo>
                      <a:lnTo>
                        <a:pt x="1259681" y="273844"/>
                      </a:lnTo>
                      <a:lnTo>
                        <a:pt x="376237" y="273844"/>
                      </a:lnTo>
                      <a:lnTo>
                        <a:pt x="295275" y="195263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952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255" name="Group 254">
                  <a:extLst>
                    <a:ext uri="{FF2B5EF4-FFF2-40B4-BE49-F238E27FC236}">
                      <a16:creationId xmlns:a16="http://schemas.microsoft.com/office/drawing/2014/main" id="{F4CDFF66-9746-4CF1-A89F-DEF991BAC10C}"/>
                    </a:ext>
                  </a:extLst>
                </xdr:cNvPr>
                <xdr:cNvGrpSpPr/>
              </xdr:nvGrpSpPr>
              <xdr:grpSpPr>
                <a:xfrm>
                  <a:off x="258096" y="9668611"/>
                  <a:ext cx="2190846" cy="1842180"/>
                  <a:chOff x="309555" y="5194697"/>
                  <a:chExt cx="2173398" cy="1790303"/>
                </a:xfrm>
              </xdr:grpSpPr>
              <xdr:grpSp>
                <xdr:nvGrpSpPr>
                  <xdr:cNvPr id="256" name="Group 255">
                    <a:extLst>
                      <a:ext uri="{FF2B5EF4-FFF2-40B4-BE49-F238E27FC236}">
                        <a16:creationId xmlns:a16="http://schemas.microsoft.com/office/drawing/2014/main" id="{87DBE54F-F8E9-40EF-BB4A-BFB6AB226DEA}"/>
                      </a:ext>
                    </a:extLst>
                  </xdr:cNvPr>
                  <xdr:cNvGrpSpPr/>
                </xdr:nvGrpSpPr>
                <xdr:grpSpPr>
                  <a:xfrm>
                    <a:off x="309555" y="5194697"/>
                    <a:ext cx="1685905" cy="1479550"/>
                    <a:chOff x="309555" y="5194697"/>
                    <a:chExt cx="1685905" cy="1479550"/>
                  </a:xfrm>
                </xdr:grpSpPr>
                <xdr:grpSp>
                  <xdr:nvGrpSpPr>
                    <xdr:cNvPr id="258" name="Group 257">
                      <a:extLst>
                        <a:ext uri="{FF2B5EF4-FFF2-40B4-BE49-F238E27FC236}">
                          <a16:creationId xmlns:a16="http://schemas.microsoft.com/office/drawing/2014/main" id="{3CF3CE8A-B796-4D8A-88EC-6EA60DCC505D}"/>
                        </a:ext>
                      </a:extLst>
                    </xdr:cNvPr>
                    <xdr:cNvGrpSpPr/>
                  </xdr:nvGrpSpPr>
                  <xdr:grpSpPr>
                    <a:xfrm>
                      <a:off x="309555" y="5289805"/>
                      <a:ext cx="1685905" cy="1251039"/>
                      <a:chOff x="309509" y="5250352"/>
                      <a:chExt cx="1691453" cy="1242230"/>
                    </a:xfrm>
                  </xdr:grpSpPr>
                  <xdr:grpSp>
                    <xdr:nvGrpSpPr>
                      <xdr:cNvPr id="260" name="Group 259">
                        <a:extLst>
                          <a:ext uri="{FF2B5EF4-FFF2-40B4-BE49-F238E27FC236}">
                            <a16:creationId xmlns:a16="http://schemas.microsoft.com/office/drawing/2014/main" id="{A6631734-7A67-4745-B3E2-625F3338CA2D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31501" y="5275407"/>
                        <a:ext cx="1557511" cy="1217175"/>
                        <a:chOff x="331531" y="5370513"/>
                        <a:chExt cx="1563324" cy="1237890"/>
                      </a:xfrm>
                    </xdr:grpSpPr>
                    <xdr:grpSp>
                      <xdr:nvGrpSpPr>
                        <xdr:cNvPr id="263" name="Group 262">
                          <a:extLst>
                            <a:ext uri="{FF2B5EF4-FFF2-40B4-BE49-F238E27FC236}">
                              <a16:creationId xmlns:a16="http://schemas.microsoft.com/office/drawing/2014/main" id="{5EDD34F3-F66E-4776-80F7-9EB55B454D9A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31531" y="5428027"/>
                          <a:ext cx="1262807" cy="1180376"/>
                          <a:chOff x="1248160" y="5548001"/>
                          <a:chExt cx="1274121" cy="1169940"/>
                        </a:xfrm>
                      </xdr:grpSpPr>
                      <xdr:cxnSp macro="">
                        <xdr:nvCxnSpPr>
                          <xdr:cNvPr id="267" name="Straight Connector 266">
                            <a:extLst>
                              <a:ext uri="{FF2B5EF4-FFF2-40B4-BE49-F238E27FC236}">
                                <a16:creationId xmlns:a16="http://schemas.microsoft.com/office/drawing/2014/main" id="{7D3C3D5F-C08B-43E8-88D9-C7CB2028D45F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120348" y="5745078"/>
                            <a:ext cx="0" cy="10324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68" name="Straight Connector 267">
                            <a:extLst>
                              <a:ext uri="{FF2B5EF4-FFF2-40B4-BE49-F238E27FC236}">
                                <a16:creationId xmlns:a16="http://schemas.microsoft.com/office/drawing/2014/main" id="{96C44AD5-8B1F-4353-A37A-E302FDD5548D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354971" y="5738129"/>
                            <a:ext cx="0" cy="10965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69" name="직선 연결선 255">
                            <a:extLst>
                              <a:ext uri="{FF2B5EF4-FFF2-40B4-BE49-F238E27FC236}">
                                <a16:creationId xmlns:a16="http://schemas.microsoft.com/office/drawing/2014/main" id="{9753EC96-A979-4A48-8A3E-DF82CD7BAF29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 flipV="1">
                            <a:off x="1888666" y="5719181"/>
                            <a:ext cx="245662" cy="985849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0" name="직선 연결선 251">
                            <a:extLst>
                              <a:ext uri="{FF2B5EF4-FFF2-40B4-BE49-F238E27FC236}">
                                <a16:creationId xmlns:a16="http://schemas.microsoft.com/office/drawing/2014/main" id="{870AA4D9-378E-4D5F-B001-A7E9475DFBD7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735435" y="5719305"/>
                            <a:ext cx="786846" cy="0"/>
                          </a:xfrm>
                          <a:prstGeom prst="line">
                            <a:avLst/>
                          </a:prstGeom>
                          <a:ln w="10160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1" name="직선 연결선 238">
                            <a:extLst>
                              <a:ext uri="{FF2B5EF4-FFF2-40B4-BE49-F238E27FC236}">
                                <a16:creationId xmlns:a16="http://schemas.microsoft.com/office/drawing/2014/main" id="{BBCB0100-9C15-4A53-A327-8A70120A69FD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48160" y="5548001"/>
                            <a:ext cx="1270517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2" name="직선 연결선 239">
                            <a:extLst>
                              <a:ext uri="{FF2B5EF4-FFF2-40B4-BE49-F238E27FC236}">
                                <a16:creationId xmlns:a16="http://schemas.microsoft.com/office/drawing/2014/main" id="{C2BEDB92-4E9C-4E53-BE4D-41CF472EF0CD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52048" y="5626011"/>
                            <a:ext cx="1266629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3" name="Straight Connector 272">
                            <a:extLst>
                              <a:ext uri="{FF2B5EF4-FFF2-40B4-BE49-F238E27FC236}">
                                <a16:creationId xmlns:a16="http://schemas.microsoft.com/office/drawing/2014/main" id="{0A64D88E-8BE0-4C36-AC9B-4DC0E36165E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271316" y="6595617"/>
                            <a:ext cx="0" cy="122324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4" name="Straight Connector 273">
                            <a:extLst>
                              <a:ext uri="{FF2B5EF4-FFF2-40B4-BE49-F238E27FC236}">
                                <a16:creationId xmlns:a16="http://schemas.microsoft.com/office/drawing/2014/main" id="{45B45E23-976D-46DC-A664-DDD68E5A315E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447414" y="6594729"/>
                            <a:ext cx="0" cy="106998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264" name="Straight Connector 263">
                          <a:extLst>
                            <a:ext uri="{FF2B5EF4-FFF2-40B4-BE49-F238E27FC236}">
                              <a16:creationId xmlns:a16="http://schemas.microsoft.com/office/drawing/2014/main" id="{9BE76EEC-5EB5-4333-AC3B-1E2CAD000F3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21929" y="5623349"/>
                          <a:ext cx="1472926" cy="0"/>
                        </a:xfrm>
                        <a:prstGeom prst="line">
                          <a:avLst/>
                        </a:prstGeom>
                        <a:ln>
                          <a:solidFill>
                            <a:srgbClr val="FF0000"/>
                          </a:solidFill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65" name="Straight Connector 264">
                          <a:extLst>
                            <a:ext uri="{FF2B5EF4-FFF2-40B4-BE49-F238E27FC236}">
                              <a16:creationId xmlns:a16="http://schemas.microsoft.com/office/drawing/2014/main" id="{5372ABAD-4D99-482E-A4DC-58DD16BF6C33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1609052" y="5557271"/>
                          <a:ext cx="188116" cy="0"/>
                        </a:xfrm>
                        <a:prstGeom prst="line">
                          <a:avLst/>
                        </a:prstGeom>
                        <a:ln w="3175">
                          <a:head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66" name="Straight Connector 265">
                          <a:extLst>
                            <a:ext uri="{FF2B5EF4-FFF2-40B4-BE49-F238E27FC236}">
                              <a16:creationId xmlns:a16="http://schemas.microsoft.com/office/drawing/2014/main" id="{DCA37FDB-7AAC-4EF4-9817-513E0C8A49F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796715" y="5370513"/>
                          <a:ext cx="0" cy="252397"/>
                        </a:xfrm>
                        <a:prstGeom prst="line">
                          <a:avLst/>
                        </a:prstGeom>
                        <a:ln w="3175">
                          <a:headEnd type="none" w="sm" len="sm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61" name="TextBox 260">
                        <a:extLst>
                          <a:ext uri="{FF2B5EF4-FFF2-40B4-BE49-F238E27FC236}">
                            <a16:creationId xmlns:a16="http://schemas.microsoft.com/office/drawing/2014/main" id="{1399E8D0-7D91-4633-908C-AD4E0E9A385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09509" y="5507761"/>
                        <a:ext cx="425223" cy="15940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PNA</a:t>
                        </a:r>
                        <a:endParaRPr lang="en-US" sz="600"/>
                      </a:p>
                    </xdr:txBody>
                  </xdr:sp>
                  <xdr:sp macro="" textlink="">
                    <xdr:nvSpPr>
                      <xdr:cNvPr id="262" name="TextBox 261">
                        <a:extLst>
                          <a:ext uri="{FF2B5EF4-FFF2-40B4-BE49-F238E27FC236}">
                            <a16:creationId xmlns:a16="http://schemas.microsoft.com/office/drawing/2014/main" id="{9A1AD3F9-C587-47BD-B3CF-194451802E5D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737323" y="5250352"/>
                        <a:ext cx="263639" cy="212612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Y</a:t>
                        </a:r>
                        <a:endParaRPr lang="en-US" sz="600"/>
                      </a:p>
                    </xdr:txBody>
                  </xdr:sp>
                </xdr:grpSp>
                <xdr:sp macro="" textlink="">
                  <xdr:nvSpPr>
                    <xdr:cNvPr id="259" name="Freeform 634">
                      <a:extLst>
                        <a:ext uri="{FF2B5EF4-FFF2-40B4-BE49-F238E27FC236}">
                          <a16:creationId xmlns:a16="http://schemas.microsoft.com/office/drawing/2014/main" id="{0B60790F-6FD2-4A0C-A8A7-C919B3AD3BAD}"/>
                        </a:ext>
                      </a:extLst>
                    </xdr:cNvPr>
                    <xdr:cNvSpPr/>
                  </xdr:nvSpPr>
                  <xdr:spPr>
                    <a:xfrm>
                      <a:off x="1501379" y="5194697"/>
                      <a:ext cx="159147" cy="1479550"/>
                    </a:xfrm>
                    <a:custGeom>
                      <a:avLst/>
                      <a:gdLst>
                        <a:gd name="connsiteX0" fmla="*/ 83343 w 161925"/>
                        <a:gd name="connsiteY0" fmla="*/ 0 h 1495425"/>
                        <a:gd name="connsiteX1" fmla="*/ 83343 w 161925"/>
                        <a:gd name="connsiteY1" fmla="*/ 731044 h 1495425"/>
                        <a:gd name="connsiteX2" fmla="*/ 161925 w 161925"/>
                        <a:gd name="connsiteY2" fmla="*/ 731044 h 1495425"/>
                        <a:gd name="connsiteX3" fmla="*/ 0 w 161925"/>
                        <a:gd name="connsiteY3" fmla="*/ 757238 h 1495425"/>
                        <a:gd name="connsiteX4" fmla="*/ 88106 w 161925"/>
                        <a:gd name="connsiteY4" fmla="*/ 757238 h 1495425"/>
                        <a:gd name="connsiteX5" fmla="*/ 88106 w 161925"/>
                        <a:gd name="connsiteY5" fmla="*/ 1495425 h 14954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</a:cxnLst>
                      <a:rect l="l" t="t" r="r" b="b"/>
                      <a:pathLst>
                        <a:path w="161925" h="1495425">
                          <a:moveTo>
                            <a:pt x="83343" y="0"/>
                          </a:moveTo>
                          <a:lnTo>
                            <a:pt x="83343" y="731044"/>
                          </a:lnTo>
                          <a:lnTo>
                            <a:pt x="161925" y="731044"/>
                          </a:lnTo>
                          <a:lnTo>
                            <a:pt x="0" y="757238"/>
                          </a:lnTo>
                          <a:lnTo>
                            <a:pt x="88106" y="757238"/>
                          </a:lnTo>
                          <a:lnTo>
                            <a:pt x="88106" y="1495425"/>
                          </a:lnTo>
                        </a:path>
                      </a:pathLst>
                    </a:custGeom>
                    <a:noFill/>
                    <a:ln w="6350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sp macro="" textlink="">
                <xdr:nvSpPr>
                  <xdr:cNvPr id="257" name="TextBox 256">
                    <a:extLst>
                      <a:ext uri="{FF2B5EF4-FFF2-40B4-BE49-F238E27FC236}">
                        <a16:creationId xmlns:a16="http://schemas.microsoft.com/office/drawing/2014/main" id="{1CDF86A1-AC79-4A27-9183-613411236310}"/>
                      </a:ext>
                    </a:extLst>
                  </xdr:cNvPr>
                  <xdr:cNvSpPr txBox="1"/>
                </xdr:nvSpPr>
                <xdr:spPr>
                  <a:xfrm>
                    <a:off x="1054203" y="6786562"/>
                    <a:ext cx="1428750" cy="19843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altLang="ko-KR" sz="9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Case 2, 9</a:t>
                    </a:r>
                    <a:endParaRPr lang="ko-KR" altLang="ko-KR" sz="600">
                      <a:effectLst/>
                    </a:endParaRPr>
                  </a:p>
                </xdr:txBody>
              </xdr:sp>
            </xdr:grpSp>
          </xdr:grpSp>
          <xdr:cxnSp macro="">
            <xdr:nvCxnSpPr>
              <xdr:cNvPr id="253" name="직선 연결선 254">
                <a:extLst>
                  <a:ext uri="{FF2B5EF4-FFF2-40B4-BE49-F238E27FC236}">
                    <a16:creationId xmlns:a16="http://schemas.microsoft.com/office/drawing/2014/main" id="{0E3A3845-4971-4C56-B898-5A44A9AA2726}"/>
                  </a:ext>
                </a:extLst>
              </xdr:cNvPr>
              <xdr:cNvCxnSpPr/>
            </xdr:nvCxnSpPr>
            <xdr:spPr>
              <a:xfrm>
                <a:off x="997744" y="14097000"/>
                <a:ext cx="548317" cy="0"/>
              </a:xfrm>
              <a:prstGeom prst="line">
                <a:avLst/>
              </a:prstGeom>
              <a:ln w="889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247" name="직선 연결선 239">
            <a:extLst>
              <a:ext uri="{FF2B5EF4-FFF2-40B4-BE49-F238E27FC236}">
                <a16:creationId xmlns:a16="http://schemas.microsoft.com/office/drawing/2014/main" id="{0440162C-BFE7-4B88-9E14-026247E82714}"/>
              </a:ext>
            </a:extLst>
          </xdr:cNvPr>
          <xdr:cNvCxnSpPr/>
        </xdr:nvCxnSpPr>
        <xdr:spPr>
          <a:xfrm>
            <a:off x="3156998" y="13950427"/>
            <a:ext cx="397670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" name="직선 연결선 239">
            <a:extLst>
              <a:ext uri="{FF2B5EF4-FFF2-40B4-BE49-F238E27FC236}">
                <a16:creationId xmlns:a16="http://schemas.microsoft.com/office/drawing/2014/main" id="{41687CE1-781E-4AB4-BC2B-EFE1094E0188}"/>
              </a:ext>
            </a:extLst>
          </xdr:cNvPr>
          <xdr:cNvCxnSpPr/>
        </xdr:nvCxnSpPr>
        <xdr:spPr>
          <a:xfrm>
            <a:off x="3168906" y="14015703"/>
            <a:ext cx="385763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" name="직선 연결선 239">
            <a:extLst>
              <a:ext uri="{FF2B5EF4-FFF2-40B4-BE49-F238E27FC236}">
                <a16:creationId xmlns:a16="http://schemas.microsoft.com/office/drawing/2014/main" id="{245A518C-AB7E-4B74-ABE3-3B957EF7B9D0}"/>
              </a:ext>
            </a:extLst>
          </xdr:cNvPr>
          <xdr:cNvCxnSpPr/>
        </xdr:nvCxnSpPr>
        <xdr:spPr>
          <a:xfrm>
            <a:off x="3189365" y="14084759"/>
            <a:ext cx="361517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220325</xdr:colOff>
      <xdr:row>68</xdr:row>
      <xdr:rowOff>181735</xdr:rowOff>
    </xdr:from>
    <xdr:to>
      <xdr:col>14</xdr:col>
      <xdr:colOff>168575</xdr:colOff>
      <xdr:row>78</xdr:row>
      <xdr:rowOff>152482</xdr:rowOff>
    </xdr:to>
    <xdr:grpSp>
      <xdr:nvGrpSpPr>
        <xdr:cNvPr id="275" name="Group 274">
          <a:extLst>
            <a:ext uri="{FF2B5EF4-FFF2-40B4-BE49-F238E27FC236}">
              <a16:creationId xmlns:a16="http://schemas.microsoft.com/office/drawing/2014/main" id="{74C19D08-E959-49A4-BA9E-A47D751012EB}"/>
            </a:ext>
          </a:extLst>
        </xdr:cNvPr>
        <xdr:cNvGrpSpPr/>
      </xdr:nvGrpSpPr>
      <xdr:grpSpPr>
        <a:xfrm>
          <a:off x="4163675" y="13135735"/>
          <a:ext cx="2139000" cy="1875747"/>
          <a:chOff x="4355971" y="12747117"/>
          <a:chExt cx="1983307" cy="1885567"/>
        </a:xfrm>
      </xdr:grpSpPr>
      <xdr:grpSp>
        <xdr:nvGrpSpPr>
          <xdr:cNvPr id="276" name="Group 275">
            <a:extLst>
              <a:ext uri="{FF2B5EF4-FFF2-40B4-BE49-F238E27FC236}">
                <a16:creationId xmlns:a16="http://schemas.microsoft.com/office/drawing/2014/main" id="{348E79EA-B751-4034-A1F6-D27EBCDC320F}"/>
              </a:ext>
            </a:extLst>
          </xdr:cNvPr>
          <xdr:cNvGrpSpPr/>
        </xdr:nvGrpSpPr>
        <xdr:grpSpPr>
          <a:xfrm>
            <a:off x="4355971" y="12747117"/>
            <a:ext cx="1983307" cy="1885567"/>
            <a:chOff x="280192" y="12682715"/>
            <a:chExt cx="1983307" cy="1876078"/>
          </a:xfrm>
        </xdr:grpSpPr>
        <xdr:sp macro="" textlink="">
          <xdr:nvSpPr>
            <xdr:cNvPr id="280" name="Freeform 666">
              <a:extLst>
                <a:ext uri="{FF2B5EF4-FFF2-40B4-BE49-F238E27FC236}">
                  <a16:creationId xmlns:a16="http://schemas.microsoft.com/office/drawing/2014/main" id="{CB118F90-ADD5-456C-9888-818F9F728BEE}"/>
                </a:ext>
              </a:extLst>
            </xdr:cNvPr>
            <xdr:cNvSpPr/>
          </xdr:nvSpPr>
          <xdr:spPr>
            <a:xfrm>
              <a:off x="1102518" y="13811249"/>
              <a:ext cx="442912" cy="250031"/>
            </a:xfrm>
            <a:custGeom>
              <a:avLst/>
              <a:gdLst>
                <a:gd name="connsiteX0" fmla="*/ 0 w 442912"/>
                <a:gd name="connsiteY0" fmla="*/ 0 h 250031"/>
                <a:gd name="connsiteX1" fmla="*/ 442912 w 442912"/>
                <a:gd name="connsiteY1" fmla="*/ 0 h 250031"/>
                <a:gd name="connsiteX2" fmla="*/ 442912 w 442912"/>
                <a:gd name="connsiteY2" fmla="*/ 250031 h 250031"/>
                <a:gd name="connsiteX3" fmla="*/ 61912 w 442912"/>
                <a:gd name="connsiteY3" fmla="*/ 250031 h 250031"/>
                <a:gd name="connsiteX4" fmla="*/ 0 w 442912"/>
                <a:gd name="connsiteY4" fmla="*/ 0 h 2500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42912" h="250031">
                  <a:moveTo>
                    <a:pt x="0" y="0"/>
                  </a:moveTo>
                  <a:lnTo>
                    <a:pt x="442912" y="0"/>
                  </a:lnTo>
                  <a:lnTo>
                    <a:pt x="442912" y="250031"/>
                  </a:lnTo>
                  <a:lnTo>
                    <a:pt x="61912" y="250031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281" name="Group 280">
              <a:extLst>
                <a:ext uri="{FF2B5EF4-FFF2-40B4-BE49-F238E27FC236}">
                  <a16:creationId xmlns:a16="http://schemas.microsoft.com/office/drawing/2014/main" id="{44B2A514-2C46-4389-A465-195EFF4419DE}"/>
                </a:ext>
              </a:extLst>
            </xdr:cNvPr>
            <xdr:cNvGrpSpPr/>
          </xdr:nvGrpSpPr>
          <xdr:grpSpPr>
            <a:xfrm>
              <a:off x="280192" y="12682715"/>
              <a:ext cx="1983307" cy="1876078"/>
              <a:chOff x="280192" y="12682715"/>
              <a:chExt cx="1983307" cy="1876078"/>
            </a:xfrm>
          </xdr:grpSpPr>
          <xdr:grpSp>
            <xdr:nvGrpSpPr>
              <xdr:cNvPr id="282" name="Group 281">
                <a:extLst>
                  <a:ext uri="{FF2B5EF4-FFF2-40B4-BE49-F238E27FC236}">
                    <a16:creationId xmlns:a16="http://schemas.microsoft.com/office/drawing/2014/main" id="{4D72D186-4EB9-4D21-9371-07739507FA70}"/>
                  </a:ext>
                </a:extLst>
              </xdr:cNvPr>
              <xdr:cNvGrpSpPr/>
            </xdr:nvGrpSpPr>
            <xdr:grpSpPr>
              <a:xfrm>
                <a:off x="280192" y="12682715"/>
                <a:ext cx="1983307" cy="1876078"/>
                <a:chOff x="280192" y="9634715"/>
                <a:chExt cx="1983307" cy="1876078"/>
              </a:xfrm>
            </xdr:grpSpPr>
            <xdr:sp macro="" textlink="">
              <xdr:nvSpPr>
                <xdr:cNvPr id="284" name="Freeform 676">
                  <a:extLst>
                    <a:ext uri="{FF2B5EF4-FFF2-40B4-BE49-F238E27FC236}">
                      <a16:creationId xmlns:a16="http://schemas.microsoft.com/office/drawing/2014/main" id="{48FC89D7-7277-4ED8-B271-DDC8A1ED4E57}"/>
                    </a:ext>
                  </a:extLst>
                </xdr:cNvPr>
                <xdr:cNvSpPr/>
              </xdr:nvSpPr>
              <xdr:spPr>
                <a:xfrm>
                  <a:off x="283369" y="9801224"/>
                  <a:ext cx="1259681" cy="273844"/>
                </a:xfrm>
                <a:custGeom>
                  <a:avLst/>
                  <a:gdLst>
                    <a:gd name="connsiteX0" fmla="*/ 295275 w 1259681"/>
                    <a:gd name="connsiteY0" fmla="*/ 195263 h 273844"/>
                    <a:gd name="connsiteX1" fmla="*/ 0 w 1259681"/>
                    <a:gd name="connsiteY1" fmla="*/ 195263 h 273844"/>
                    <a:gd name="connsiteX2" fmla="*/ 0 w 1259681"/>
                    <a:gd name="connsiteY2" fmla="*/ 0 h 273844"/>
                    <a:gd name="connsiteX3" fmla="*/ 1259681 w 1259681"/>
                    <a:gd name="connsiteY3" fmla="*/ 0 h 273844"/>
                    <a:gd name="connsiteX4" fmla="*/ 1259681 w 1259681"/>
                    <a:gd name="connsiteY4" fmla="*/ 273844 h 273844"/>
                    <a:gd name="connsiteX5" fmla="*/ 376237 w 1259681"/>
                    <a:gd name="connsiteY5" fmla="*/ 273844 h 273844"/>
                    <a:gd name="connsiteX6" fmla="*/ 295275 w 1259681"/>
                    <a:gd name="connsiteY6" fmla="*/ 195263 h 2738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259681" h="273844">
                      <a:moveTo>
                        <a:pt x="295275" y="195263"/>
                      </a:moveTo>
                      <a:lnTo>
                        <a:pt x="0" y="195263"/>
                      </a:lnTo>
                      <a:lnTo>
                        <a:pt x="0" y="0"/>
                      </a:lnTo>
                      <a:lnTo>
                        <a:pt x="1259681" y="0"/>
                      </a:lnTo>
                      <a:lnTo>
                        <a:pt x="1259681" y="273844"/>
                      </a:lnTo>
                      <a:lnTo>
                        <a:pt x="376237" y="273844"/>
                      </a:lnTo>
                      <a:lnTo>
                        <a:pt x="295275" y="195263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952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285" name="Group 284">
                  <a:extLst>
                    <a:ext uri="{FF2B5EF4-FFF2-40B4-BE49-F238E27FC236}">
                      <a16:creationId xmlns:a16="http://schemas.microsoft.com/office/drawing/2014/main" id="{F955319B-59F0-4FD3-A824-DE2F78345C11}"/>
                    </a:ext>
                  </a:extLst>
                </xdr:cNvPr>
                <xdr:cNvGrpSpPr/>
              </xdr:nvGrpSpPr>
              <xdr:grpSpPr>
                <a:xfrm>
                  <a:off x="280192" y="9634715"/>
                  <a:ext cx="1983307" cy="1876078"/>
                  <a:chOff x="331475" y="5161754"/>
                  <a:chExt cx="1967512" cy="1823246"/>
                </a:xfrm>
              </xdr:grpSpPr>
              <xdr:grpSp>
                <xdr:nvGrpSpPr>
                  <xdr:cNvPr id="286" name="Group 285">
                    <a:extLst>
                      <a:ext uri="{FF2B5EF4-FFF2-40B4-BE49-F238E27FC236}">
                        <a16:creationId xmlns:a16="http://schemas.microsoft.com/office/drawing/2014/main" id="{EBB20A1E-62A0-41B0-8007-7307AE687058}"/>
                      </a:ext>
                    </a:extLst>
                  </xdr:cNvPr>
                  <xdr:cNvGrpSpPr/>
                </xdr:nvGrpSpPr>
                <xdr:grpSpPr>
                  <a:xfrm>
                    <a:off x="331475" y="5161754"/>
                    <a:ext cx="1704803" cy="1512493"/>
                    <a:chOff x="331475" y="5161754"/>
                    <a:chExt cx="1704803" cy="1512493"/>
                  </a:xfrm>
                </xdr:grpSpPr>
                <xdr:grpSp>
                  <xdr:nvGrpSpPr>
                    <xdr:cNvPr id="288" name="Group 287">
                      <a:extLst>
                        <a:ext uri="{FF2B5EF4-FFF2-40B4-BE49-F238E27FC236}">
                          <a16:creationId xmlns:a16="http://schemas.microsoft.com/office/drawing/2014/main" id="{7267DB0F-5D47-41B1-A9C7-ABEA25C43605}"/>
                        </a:ext>
                      </a:extLst>
                    </xdr:cNvPr>
                    <xdr:cNvGrpSpPr/>
                  </xdr:nvGrpSpPr>
                  <xdr:grpSpPr>
                    <a:xfrm>
                      <a:off x="331475" y="5161754"/>
                      <a:ext cx="1704803" cy="1379088"/>
                      <a:chOff x="331501" y="5123204"/>
                      <a:chExt cx="1710413" cy="1369378"/>
                    </a:xfrm>
                  </xdr:grpSpPr>
                  <xdr:grpSp>
                    <xdr:nvGrpSpPr>
                      <xdr:cNvPr id="290" name="Group 289">
                        <a:extLst>
                          <a:ext uri="{FF2B5EF4-FFF2-40B4-BE49-F238E27FC236}">
                            <a16:creationId xmlns:a16="http://schemas.microsoft.com/office/drawing/2014/main" id="{15B1A526-3594-467B-AEBD-29B0AA8A80F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31501" y="5275407"/>
                        <a:ext cx="1557511" cy="1217175"/>
                        <a:chOff x="331531" y="5370513"/>
                        <a:chExt cx="1563324" cy="1237890"/>
                      </a:xfrm>
                    </xdr:grpSpPr>
                    <xdr:grpSp>
                      <xdr:nvGrpSpPr>
                        <xdr:cNvPr id="293" name="Group 292">
                          <a:extLst>
                            <a:ext uri="{FF2B5EF4-FFF2-40B4-BE49-F238E27FC236}">
                              <a16:creationId xmlns:a16="http://schemas.microsoft.com/office/drawing/2014/main" id="{14BFC252-725D-4154-B19C-F3036EE3ABE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31531" y="5428027"/>
                          <a:ext cx="1262807" cy="1180376"/>
                          <a:chOff x="1248160" y="5548001"/>
                          <a:chExt cx="1274121" cy="1169940"/>
                        </a:xfrm>
                      </xdr:grpSpPr>
                      <xdr:cxnSp macro="">
                        <xdr:nvCxnSpPr>
                          <xdr:cNvPr id="297" name="Straight Connector 296">
                            <a:extLst>
                              <a:ext uri="{FF2B5EF4-FFF2-40B4-BE49-F238E27FC236}">
                                <a16:creationId xmlns:a16="http://schemas.microsoft.com/office/drawing/2014/main" id="{879F278A-08C7-4748-AC45-3984FCBED419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120348" y="5745078"/>
                            <a:ext cx="0" cy="10324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98" name="Straight Connector 297">
                            <a:extLst>
                              <a:ext uri="{FF2B5EF4-FFF2-40B4-BE49-F238E27FC236}">
                                <a16:creationId xmlns:a16="http://schemas.microsoft.com/office/drawing/2014/main" id="{BAD71324-E4EC-4262-A6CC-3A09AA4A9A4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354971" y="5738129"/>
                            <a:ext cx="0" cy="10965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99" name="직선 연결선 255">
                            <a:extLst>
                              <a:ext uri="{FF2B5EF4-FFF2-40B4-BE49-F238E27FC236}">
                                <a16:creationId xmlns:a16="http://schemas.microsoft.com/office/drawing/2014/main" id="{71E77D52-3E1F-422B-83CB-47430BF86D13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 flipV="1">
                            <a:off x="1888666" y="5719181"/>
                            <a:ext cx="245662" cy="985849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00" name="직선 연결선 251">
                            <a:extLst>
                              <a:ext uri="{FF2B5EF4-FFF2-40B4-BE49-F238E27FC236}">
                                <a16:creationId xmlns:a16="http://schemas.microsoft.com/office/drawing/2014/main" id="{7E84B0E1-A95F-4B6E-8828-64A13DE26EA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735435" y="5719305"/>
                            <a:ext cx="786846" cy="0"/>
                          </a:xfrm>
                          <a:prstGeom prst="line">
                            <a:avLst/>
                          </a:prstGeom>
                          <a:ln w="10160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01" name="직선 연결선 238">
                            <a:extLst>
                              <a:ext uri="{FF2B5EF4-FFF2-40B4-BE49-F238E27FC236}">
                                <a16:creationId xmlns:a16="http://schemas.microsoft.com/office/drawing/2014/main" id="{1457A70F-5C47-45A7-A296-533E5F856573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48160" y="5548001"/>
                            <a:ext cx="1270517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02" name="직선 연결선 239">
                            <a:extLst>
                              <a:ext uri="{FF2B5EF4-FFF2-40B4-BE49-F238E27FC236}">
                                <a16:creationId xmlns:a16="http://schemas.microsoft.com/office/drawing/2014/main" id="{7D8D98E3-CAEC-4B13-8B31-B9E8D1C30E55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52048" y="5626011"/>
                            <a:ext cx="1266629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03" name="Straight Connector 302">
                            <a:extLst>
                              <a:ext uri="{FF2B5EF4-FFF2-40B4-BE49-F238E27FC236}">
                                <a16:creationId xmlns:a16="http://schemas.microsoft.com/office/drawing/2014/main" id="{FBBA1492-BE8E-4FD5-BA5C-40AA5A3618D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271316" y="6595617"/>
                            <a:ext cx="0" cy="122324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04" name="Straight Connector 303">
                            <a:extLst>
                              <a:ext uri="{FF2B5EF4-FFF2-40B4-BE49-F238E27FC236}">
                                <a16:creationId xmlns:a16="http://schemas.microsoft.com/office/drawing/2014/main" id="{E5297900-49B3-4044-98E8-33FCEF518C83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447414" y="6594729"/>
                            <a:ext cx="0" cy="106998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294" name="Straight Connector 293">
                          <a:extLst>
                            <a:ext uri="{FF2B5EF4-FFF2-40B4-BE49-F238E27FC236}">
                              <a16:creationId xmlns:a16="http://schemas.microsoft.com/office/drawing/2014/main" id="{240879CD-61E6-4268-AFFF-C2BFCA62E041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21929" y="5478455"/>
                          <a:ext cx="1472926" cy="0"/>
                        </a:xfrm>
                        <a:prstGeom prst="line">
                          <a:avLst/>
                        </a:prstGeom>
                        <a:ln>
                          <a:solidFill>
                            <a:srgbClr val="FF0000"/>
                          </a:solidFill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95" name="Straight Connector 294">
                          <a:extLst>
                            <a:ext uri="{FF2B5EF4-FFF2-40B4-BE49-F238E27FC236}">
                              <a16:creationId xmlns:a16="http://schemas.microsoft.com/office/drawing/2014/main" id="{B2103F0F-CE5C-4D2D-B2A3-9A78356501C2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1609052" y="5377322"/>
                          <a:ext cx="188116" cy="0"/>
                        </a:xfrm>
                        <a:prstGeom prst="line">
                          <a:avLst/>
                        </a:prstGeom>
                        <a:ln w="3175">
                          <a:head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96" name="Straight Connector 295">
                          <a:extLst>
                            <a:ext uri="{FF2B5EF4-FFF2-40B4-BE49-F238E27FC236}">
                              <a16:creationId xmlns:a16="http://schemas.microsoft.com/office/drawing/2014/main" id="{CF58650D-5928-49A2-B49D-85D3361964C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796715" y="5370513"/>
                          <a:ext cx="0" cy="107499"/>
                        </a:xfrm>
                        <a:prstGeom prst="line">
                          <a:avLst/>
                        </a:prstGeom>
                        <a:ln w="3175">
                          <a:headEnd type="none" w="sm" len="sm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91" name="TextBox 290">
                        <a:extLst>
                          <a:ext uri="{FF2B5EF4-FFF2-40B4-BE49-F238E27FC236}">
                            <a16:creationId xmlns:a16="http://schemas.microsoft.com/office/drawing/2014/main" id="{72D2AAAD-40C4-4556-BAC2-35C4C37E518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75588" y="5123204"/>
                        <a:ext cx="425223" cy="15940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PNA</a:t>
                        </a:r>
                        <a:endParaRPr lang="en-US" sz="600"/>
                      </a:p>
                    </xdr:txBody>
                  </xdr:sp>
                  <xdr:sp macro="" textlink="">
                    <xdr:nvSpPr>
                      <xdr:cNvPr id="292" name="TextBox 291">
                        <a:extLst>
                          <a:ext uri="{FF2B5EF4-FFF2-40B4-BE49-F238E27FC236}">
                            <a16:creationId xmlns:a16="http://schemas.microsoft.com/office/drawing/2014/main" id="{89069898-965B-4FCE-A5C4-68F90F1FBACC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778275" y="5223131"/>
                        <a:ext cx="263639" cy="212612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Y</a:t>
                        </a:r>
                        <a:endParaRPr lang="en-US" sz="600"/>
                      </a:p>
                    </xdr:txBody>
                  </xdr:sp>
                </xdr:grpSp>
                <xdr:sp macro="" textlink="">
                  <xdr:nvSpPr>
                    <xdr:cNvPr id="289" name="Freeform 681">
                      <a:extLst>
                        <a:ext uri="{FF2B5EF4-FFF2-40B4-BE49-F238E27FC236}">
                          <a16:creationId xmlns:a16="http://schemas.microsoft.com/office/drawing/2014/main" id="{2E2499DA-D198-48CA-94E8-710048F858A9}"/>
                        </a:ext>
                      </a:extLst>
                    </xdr:cNvPr>
                    <xdr:cNvSpPr/>
                  </xdr:nvSpPr>
                  <xdr:spPr>
                    <a:xfrm>
                      <a:off x="1501379" y="5194697"/>
                      <a:ext cx="159147" cy="1479550"/>
                    </a:xfrm>
                    <a:custGeom>
                      <a:avLst/>
                      <a:gdLst>
                        <a:gd name="connsiteX0" fmla="*/ 83343 w 161925"/>
                        <a:gd name="connsiteY0" fmla="*/ 0 h 1495425"/>
                        <a:gd name="connsiteX1" fmla="*/ 83343 w 161925"/>
                        <a:gd name="connsiteY1" fmla="*/ 731044 h 1495425"/>
                        <a:gd name="connsiteX2" fmla="*/ 161925 w 161925"/>
                        <a:gd name="connsiteY2" fmla="*/ 731044 h 1495425"/>
                        <a:gd name="connsiteX3" fmla="*/ 0 w 161925"/>
                        <a:gd name="connsiteY3" fmla="*/ 757238 h 1495425"/>
                        <a:gd name="connsiteX4" fmla="*/ 88106 w 161925"/>
                        <a:gd name="connsiteY4" fmla="*/ 757238 h 1495425"/>
                        <a:gd name="connsiteX5" fmla="*/ 88106 w 161925"/>
                        <a:gd name="connsiteY5" fmla="*/ 1495425 h 14954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</a:cxnLst>
                      <a:rect l="l" t="t" r="r" b="b"/>
                      <a:pathLst>
                        <a:path w="161925" h="1495425">
                          <a:moveTo>
                            <a:pt x="83343" y="0"/>
                          </a:moveTo>
                          <a:lnTo>
                            <a:pt x="83343" y="731044"/>
                          </a:lnTo>
                          <a:lnTo>
                            <a:pt x="161925" y="731044"/>
                          </a:lnTo>
                          <a:lnTo>
                            <a:pt x="0" y="757238"/>
                          </a:lnTo>
                          <a:lnTo>
                            <a:pt x="88106" y="757238"/>
                          </a:lnTo>
                          <a:lnTo>
                            <a:pt x="88106" y="1495425"/>
                          </a:lnTo>
                        </a:path>
                      </a:pathLst>
                    </a:custGeom>
                    <a:noFill/>
                    <a:ln w="6350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sp macro="" textlink="">
                <xdr:nvSpPr>
                  <xdr:cNvPr id="287" name="TextBox 286">
                    <a:extLst>
                      <a:ext uri="{FF2B5EF4-FFF2-40B4-BE49-F238E27FC236}">
                        <a16:creationId xmlns:a16="http://schemas.microsoft.com/office/drawing/2014/main" id="{8B474E1E-C945-4E2A-AFD2-CF9C968ACA49}"/>
                      </a:ext>
                    </a:extLst>
                  </xdr:cNvPr>
                  <xdr:cNvSpPr txBox="1"/>
                </xdr:nvSpPr>
                <xdr:spPr>
                  <a:xfrm>
                    <a:off x="870237" y="6786562"/>
                    <a:ext cx="1428750" cy="19843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altLang="ko-KR" sz="9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Case 3, 4, 5, 6, 7</a:t>
                    </a:r>
                    <a:endParaRPr lang="ko-KR" altLang="ko-KR" sz="600">
                      <a:effectLst/>
                    </a:endParaRPr>
                  </a:p>
                </xdr:txBody>
              </xdr:sp>
            </xdr:grpSp>
          </xdr:grpSp>
          <xdr:cxnSp macro="">
            <xdr:nvCxnSpPr>
              <xdr:cNvPr id="283" name="직선 연결선 254">
                <a:extLst>
                  <a:ext uri="{FF2B5EF4-FFF2-40B4-BE49-F238E27FC236}">
                    <a16:creationId xmlns:a16="http://schemas.microsoft.com/office/drawing/2014/main" id="{84195473-3A15-4D33-8F0B-D715A7685014}"/>
                  </a:ext>
                </a:extLst>
              </xdr:cNvPr>
              <xdr:cNvCxnSpPr/>
            </xdr:nvCxnSpPr>
            <xdr:spPr>
              <a:xfrm>
                <a:off x="997744" y="14097000"/>
                <a:ext cx="548317" cy="0"/>
              </a:xfrm>
              <a:prstGeom prst="line">
                <a:avLst/>
              </a:prstGeom>
              <a:ln w="889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277" name="직선 연결선 239">
            <a:extLst>
              <a:ext uri="{FF2B5EF4-FFF2-40B4-BE49-F238E27FC236}">
                <a16:creationId xmlns:a16="http://schemas.microsoft.com/office/drawing/2014/main" id="{4E2A9A7F-AB07-4FA5-993A-80DBDFAD536C}"/>
              </a:ext>
            </a:extLst>
          </xdr:cNvPr>
          <xdr:cNvCxnSpPr/>
        </xdr:nvCxnSpPr>
        <xdr:spPr>
          <a:xfrm>
            <a:off x="5219111" y="13954951"/>
            <a:ext cx="397670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" name="직선 연결선 239">
            <a:extLst>
              <a:ext uri="{FF2B5EF4-FFF2-40B4-BE49-F238E27FC236}">
                <a16:creationId xmlns:a16="http://schemas.microsoft.com/office/drawing/2014/main" id="{BBCA18E5-CF27-4C44-836B-9FAC284CC78A}"/>
              </a:ext>
            </a:extLst>
          </xdr:cNvPr>
          <xdr:cNvCxnSpPr/>
        </xdr:nvCxnSpPr>
        <xdr:spPr>
          <a:xfrm>
            <a:off x="5231019" y="14020227"/>
            <a:ext cx="385763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" name="직선 연결선 239">
            <a:extLst>
              <a:ext uri="{FF2B5EF4-FFF2-40B4-BE49-F238E27FC236}">
                <a16:creationId xmlns:a16="http://schemas.microsoft.com/office/drawing/2014/main" id="{D21F56A0-6BA0-4AAA-A26A-911D7A49A080}"/>
              </a:ext>
            </a:extLst>
          </xdr:cNvPr>
          <xdr:cNvCxnSpPr/>
        </xdr:nvCxnSpPr>
        <xdr:spPr>
          <a:xfrm>
            <a:off x="5251478" y="14089283"/>
            <a:ext cx="361517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97511</xdr:colOff>
      <xdr:row>38</xdr:row>
      <xdr:rowOff>157729</xdr:rowOff>
    </xdr:from>
    <xdr:to>
      <xdr:col>14</xdr:col>
      <xdr:colOff>0</xdr:colOff>
      <xdr:row>49</xdr:row>
      <xdr:rowOff>4625</xdr:rowOff>
    </xdr:to>
    <xdr:grpSp>
      <xdr:nvGrpSpPr>
        <xdr:cNvPr id="305" name="Group 304">
          <a:extLst>
            <a:ext uri="{FF2B5EF4-FFF2-40B4-BE49-F238E27FC236}">
              <a16:creationId xmlns:a16="http://schemas.microsoft.com/office/drawing/2014/main" id="{4942C5B9-4025-4660-A3BC-82A6D12DC91D}"/>
            </a:ext>
          </a:extLst>
        </xdr:cNvPr>
        <xdr:cNvGrpSpPr/>
      </xdr:nvGrpSpPr>
      <xdr:grpSpPr>
        <a:xfrm>
          <a:off x="97511" y="7396729"/>
          <a:ext cx="6036589" cy="1942396"/>
          <a:chOff x="0" y="7414390"/>
          <a:chExt cx="6390550" cy="1782948"/>
        </a:xfrm>
      </xdr:grpSpPr>
      <xdr:grpSp>
        <xdr:nvGrpSpPr>
          <xdr:cNvPr id="306" name="Group 305">
            <a:extLst>
              <a:ext uri="{FF2B5EF4-FFF2-40B4-BE49-F238E27FC236}">
                <a16:creationId xmlns:a16="http://schemas.microsoft.com/office/drawing/2014/main" id="{227A1F43-D92E-47DB-A049-E9CD284A37C9}"/>
              </a:ext>
            </a:extLst>
          </xdr:cNvPr>
          <xdr:cNvGrpSpPr/>
        </xdr:nvGrpSpPr>
        <xdr:grpSpPr>
          <a:xfrm>
            <a:off x="4020" y="7414390"/>
            <a:ext cx="6386530" cy="1782948"/>
            <a:chOff x="4020" y="7414390"/>
            <a:chExt cx="6386530" cy="1782948"/>
          </a:xfrm>
        </xdr:grpSpPr>
        <xdr:grpSp>
          <xdr:nvGrpSpPr>
            <xdr:cNvPr id="309" name="Group 308">
              <a:extLst>
                <a:ext uri="{FF2B5EF4-FFF2-40B4-BE49-F238E27FC236}">
                  <a16:creationId xmlns:a16="http://schemas.microsoft.com/office/drawing/2014/main" id="{81B71AF6-899F-44AC-A9BE-118936DBABC1}"/>
                </a:ext>
              </a:extLst>
            </xdr:cNvPr>
            <xdr:cNvGrpSpPr/>
          </xdr:nvGrpSpPr>
          <xdr:grpSpPr>
            <a:xfrm>
              <a:off x="4020" y="7414390"/>
              <a:ext cx="6386530" cy="1782948"/>
              <a:chOff x="-19793" y="7414390"/>
              <a:chExt cx="6386530" cy="1782948"/>
            </a:xfrm>
          </xdr:grpSpPr>
          <xdr:grpSp>
            <xdr:nvGrpSpPr>
              <xdr:cNvPr id="313" name="Group 312">
                <a:extLst>
                  <a:ext uri="{FF2B5EF4-FFF2-40B4-BE49-F238E27FC236}">
                    <a16:creationId xmlns:a16="http://schemas.microsoft.com/office/drawing/2014/main" id="{84D8E9BF-FFEC-4DA4-B786-1B92D42419F3}"/>
                  </a:ext>
                </a:extLst>
              </xdr:cNvPr>
              <xdr:cNvGrpSpPr/>
            </xdr:nvGrpSpPr>
            <xdr:grpSpPr>
              <a:xfrm>
                <a:off x="-19793" y="7414390"/>
                <a:ext cx="6386530" cy="1782948"/>
                <a:chOff x="-19793" y="7414390"/>
                <a:chExt cx="6386530" cy="1782948"/>
              </a:xfrm>
            </xdr:grpSpPr>
            <xdr:cxnSp macro="">
              <xdr:nvCxnSpPr>
                <xdr:cNvPr id="318" name="Straight Connector 317">
                  <a:extLst>
                    <a:ext uri="{FF2B5EF4-FFF2-40B4-BE49-F238E27FC236}">
                      <a16:creationId xmlns:a16="http://schemas.microsoft.com/office/drawing/2014/main" id="{B8EC065A-194D-43CC-8B02-E6DB3BA52EB4}"/>
                    </a:ext>
                  </a:extLst>
                </xdr:cNvPr>
                <xdr:cNvCxnSpPr/>
              </xdr:nvCxnSpPr>
              <xdr:spPr>
                <a:xfrm>
                  <a:off x="1957387" y="8046245"/>
                  <a:ext cx="0" cy="103435"/>
                </a:xfrm>
                <a:prstGeom prst="line">
                  <a:avLst/>
                </a:prstGeom>
                <a:ln w="38100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19" name="Straight Connector 318">
                  <a:extLst>
                    <a:ext uri="{FF2B5EF4-FFF2-40B4-BE49-F238E27FC236}">
                      <a16:creationId xmlns:a16="http://schemas.microsoft.com/office/drawing/2014/main" id="{E1ACCF1B-6BFB-4F50-8762-E08EF1863029}"/>
                    </a:ext>
                  </a:extLst>
                </xdr:cNvPr>
                <xdr:cNvCxnSpPr/>
              </xdr:nvCxnSpPr>
              <xdr:spPr>
                <a:xfrm>
                  <a:off x="1719262" y="8048627"/>
                  <a:ext cx="0" cy="103435"/>
                </a:xfrm>
                <a:prstGeom prst="line">
                  <a:avLst/>
                </a:prstGeom>
                <a:ln w="38100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320" name="Group 319">
                  <a:extLst>
                    <a:ext uri="{FF2B5EF4-FFF2-40B4-BE49-F238E27FC236}">
                      <a16:creationId xmlns:a16="http://schemas.microsoft.com/office/drawing/2014/main" id="{440B6523-4E80-4512-B3B0-6F1C1A83E95E}"/>
                    </a:ext>
                  </a:extLst>
                </xdr:cNvPr>
                <xdr:cNvGrpSpPr/>
              </xdr:nvGrpSpPr>
              <xdr:grpSpPr>
                <a:xfrm>
                  <a:off x="-19793" y="7414390"/>
                  <a:ext cx="6386530" cy="1782948"/>
                  <a:chOff x="-19793" y="7414390"/>
                  <a:chExt cx="6386530" cy="1782948"/>
                </a:xfrm>
              </xdr:grpSpPr>
              <xdr:cxnSp macro="">
                <xdr:nvCxnSpPr>
                  <xdr:cNvPr id="321" name="Straight Connector 320">
                    <a:extLst>
                      <a:ext uri="{FF2B5EF4-FFF2-40B4-BE49-F238E27FC236}">
                        <a16:creationId xmlns:a16="http://schemas.microsoft.com/office/drawing/2014/main" id="{5B1728A2-894F-4F9D-82AB-7A45DD23FFB4}"/>
                      </a:ext>
                    </a:extLst>
                  </xdr:cNvPr>
                  <xdr:cNvCxnSpPr/>
                </xdr:nvCxnSpPr>
                <xdr:spPr>
                  <a:xfrm>
                    <a:off x="1478757" y="8046245"/>
                    <a:ext cx="0" cy="103435"/>
                  </a:xfrm>
                  <a:prstGeom prst="line">
                    <a:avLst/>
                  </a:prstGeom>
                  <a:ln w="38100">
                    <a:solidFill>
                      <a:srgbClr val="FF000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322" name="Group 321">
                    <a:extLst>
                      <a:ext uri="{FF2B5EF4-FFF2-40B4-BE49-F238E27FC236}">
                        <a16:creationId xmlns:a16="http://schemas.microsoft.com/office/drawing/2014/main" id="{51AA5E91-70B6-46A4-945A-9A33962649B5}"/>
                      </a:ext>
                    </a:extLst>
                  </xdr:cNvPr>
                  <xdr:cNvGrpSpPr/>
                </xdr:nvGrpSpPr>
                <xdr:grpSpPr>
                  <a:xfrm>
                    <a:off x="-19793" y="7414390"/>
                    <a:ext cx="6386530" cy="1782948"/>
                    <a:chOff x="186906" y="4839041"/>
                    <a:chExt cx="6382014" cy="1781128"/>
                  </a:xfrm>
                </xdr:grpSpPr>
                <xdr:grpSp>
                  <xdr:nvGrpSpPr>
                    <xdr:cNvPr id="323" name="Group 322">
                      <a:extLst>
                        <a:ext uri="{FF2B5EF4-FFF2-40B4-BE49-F238E27FC236}">
                          <a16:creationId xmlns:a16="http://schemas.microsoft.com/office/drawing/2014/main" id="{F31744CB-A91B-4343-9D0A-21575B23BEB4}"/>
                        </a:ext>
                      </a:extLst>
                    </xdr:cNvPr>
                    <xdr:cNvGrpSpPr/>
                  </xdr:nvGrpSpPr>
                  <xdr:grpSpPr>
                    <a:xfrm>
                      <a:off x="186906" y="4839041"/>
                      <a:ext cx="6042444" cy="1781128"/>
                      <a:chOff x="186906" y="450737"/>
                      <a:chExt cx="6042444" cy="1750142"/>
                    </a:xfrm>
                  </xdr:grpSpPr>
                  <xdr:grpSp>
                    <xdr:nvGrpSpPr>
                      <xdr:cNvPr id="331" name="Group 330">
                        <a:extLst>
                          <a:ext uri="{FF2B5EF4-FFF2-40B4-BE49-F238E27FC236}">
                            <a16:creationId xmlns:a16="http://schemas.microsoft.com/office/drawing/2014/main" id="{85EA7C06-5868-4731-B62C-897D22D8D7C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86906" y="662962"/>
                        <a:ext cx="6042444" cy="1537917"/>
                        <a:chOff x="33827" y="4685573"/>
                        <a:chExt cx="6042444" cy="1537917"/>
                      </a:xfrm>
                    </xdr:grpSpPr>
                    <xdr:grpSp>
                      <xdr:nvGrpSpPr>
                        <xdr:cNvPr id="334" name="Group 333">
                          <a:extLst>
                            <a:ext uri="{FF2B5EF4-FFF2-40B4-BE49-F238E27FC236}">
                              <a16:creationId xmlns:a16="http://schemas.microsoft.com/office/drawing/2014/main" id="{B83E9548-4662-4095-BF80-63C90EDB0BAB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3827" y="4752573"/>
                          <a:ext cx="6042444" cy="1470917"/>
                          <a:chOff x="33827" y="4810559"/>
                          <a:chExt cx="6042444" cy="1489739"/>
                        </a:xfrm>
                      </xdr:grpSpPr>
                      <xdr:grpSp>
                        <xdr:nvGrpSpPr>
                          <xdr:cNvPr id="336" name="Group 335">
                            <a:extLst>
                              <a:ext uri="{FF2B5EF4-FFF2-40B4-BE49-F238E27FC236}">
                                <a16:creationId xmlns:a16="http://schemas.microsoft.com/office/drawing/2014/main" id="{7B682A40-0DB9-4CC0-9C33-F8FF0FAA6B76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3827" y="4810559"/>
                            <a:ext cx="6042444" cy="1489739"/>
                            <a:chOff x="33827" y="4810559"/>
                            <a:chExt cx="6042444" cy="1489739"/>
                          </a:xfrm>
                        </xdr:grpSpPr>
                        <xdr:grpSp>
                          <xdr:nvGrpSpPr>
                            <xdr:cNvPr id="340" name="Group 339">
                              <a:extLst>
                                <a:ext uri="{FF2B5EF4-FFF2-40B4-BE49-F238E27FC236}">
                                  <a16:creationId xmlns:a16="http://schemas.microsoft.com/office/drawing/2014/main" id="{2FD46DF4-7B7A-45F7-9306-F545E00A2604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33827" y="4810559"/>
                              <a:ext cx="6042444" cy="1489739"/>
                              <a:chOff x="32946" y="4823860"/>
                              <a:chExt cx="6078155" cy="1494056"/>
                            </a:xfrm>
                          </xdr:grpSpPr>
                          <xdr:grpSp>
                            <xdr:nvGrpSpPr>
                              <xdr:cNvPr id="345" name="Group 344">
                                <a:extLst>
                                  <a:ext uri="{FF2B5EF4-FFF2-40B4-BE49-F238E27FC236}">
                                    <a16:creationId xmlns:a16="http://schemas.microsoft.com/office/drawing/2014/main" id="{3707FC15-C8E7-4E47-BD14-4748537E87CF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32946" y="4823860"/>
                                <a:ext cx="5946673" cy="1494056"/>
                                <a:chOff x="33801" y="4837622"/>
                                <a:chExt cx="5912783" cy="1498524"/>
                              </a:xfrm>
                            </xdr:grpSpPr>
                            <xdr:sp macro="" textlink="">
                              <xdr:nvSpPr>
                                <xdr:cNvPr id="350" name="TextBox 349">
                                  <a:extLst>
                                    <a:ext uri="{FF2B5EF4-FFF2-40B4-BE49-F238E27FC236}">
                                      <a16:creationId xmlns:a16="http://schemas.microsoft.com/office/drawing/2014/main" id="{18A09394-0D53-4221-8F49-853CCD136EE5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>
                                  <a:off x="323853" y="5264943"/>
                                  <a:ext cx="374706" cy="177261"/>
                                </a:xfrm>
                                <a:prstGeom prst="rect">
                                  <a:avLst/>
                                </a:prstGeom>
                                <a:noFill/>
                                <a:ln w="9525" cmpd="sng">
                                  <a:noFill/>
                                </a:ln>
                              </xdr:spPr>
                              <xdr:style>
                                <a:lnRef idx="0">
                                  <a:scrgbClr r="0" g="0" b="0"/>
                                </a:lnRef>
                                <a:fillRef idx="0">
                                  <a:scrgbClr r="0" g="0" b="0"/>
                                </a:fillRef>
                                <a:effectRef idx="0">
                                  <a:scrgbClr r="0" g="0" b="0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wrap="square" rtlCol="0" anchor="ctr"/>
                                <a:lstStyle/>
                                <a:p>
                                  <a:r>
                                    <a:rPr lang="en-US" sz="900"/>
                                    <a:t>H</a:t>
                                  </a:r>
                                  <a:r>
                                    <a:rPr lang="en-US" sz="600"/>
                                    <a:t>st</a:t>
                                  </a:r>
                                  <a:endParaRPr lang="en-US" sz="800"/>
                                </a:p>
                              </xdr:txBody>
                            </xdr:sp>
                            <xdr:grpSp>
                              <xdr:nvGrpSpPr>
                                <xdr:cNvPr id="351" name="Group 350">
                                  <a:extLst>
                                    <a:ext uri="{FF2B5EF4-FFF2-40B4-BE49-F238E27FC236}">
                                      <a16:creationId xmlns:a16="http://schemas.microsoft.com/office/drawing/2014/main" id="{A74D86AA-6B4E-4C36-AC13-5CD5C129F00B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33801" y="4837622"/>
                                  <a:ext cx="5912783" cy="1469001"/>
                                  <a:chOff x="33801" y="4837622"/>
                                  <a:chExt cx="5912783" cy="1469001"/>
                                </a:xfrm>
                              </xdr:grpSpPr>
                              <xdr:grpSp>
                                <xdr:nvGrpSpPr>
                                  <xdr:cNvPr id="353" name="Group 352">
                                    <a:extLst>
                                      <a:ext uri="{FF2B5EF4-FFF2-40B4-BE49-F238E27FC236}">
                                        <a16:creationId xmlns:a16="http://schemas.microsoft.com/office/drawing/2014/main" id="{98F74447-483B-4E64-8D8F-B09F39FDF210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33801" y="4837622"/>
                                    <a:ext cx="5912783" cy="1444253"/>
                                    <a:chOff x="33801" y="4837622"/>
                                    <a:chExt cx="5912783" cy="1444253"/>
                                  </a:xfrm>
                                </xdr:grpSpPr>
                                <xdr:grpSp>
                                  <xdr:nvGrpSpPr>
                                    <xdr:cNvPr id="357" name="Group 356">
                                      <a:extLst>
                                        <a:ext uri="{FF2B5EF4-FFF2-40B4-BE49-F238E27FC236}">
                                          <a16:creationId xmlns:a16="http://schemas.microsoft.com/office/drawing/2014/main" id="{FE623A5A-C45C-47E2-83B3-7CC4A7F5D2AB}"/>
                                        </a:ext>
                                      </a:extLst>
                                    </xdr:cNvPr>
                                    <xdr:cNvGrpSpPr/>
                                  </xdr:nvGrpSpPr>
                                  <xdr:grpSpPr>
                                    <a:xfrm>
                                      <a:off x="33801" y="4837622"/>
                                      <a:ext cx="5912783" cy="1444253"/>
                                      <a:chOff x="-119279" y="4871640"/>
                                      <a:chExt cx="5912783" cy="1447655"/>
                                    </a:xfrm>
                                  </xdr:grpSpPr>
                                  <xdr:grpSp>
                                    <xdr:nvGrpSpPr>
                                      <xdr:cNvPr id="361" name="Group 360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939DB76A-9BEB-40E5-BA43-62FAE7DFD5CF}"/>
                                          </a:ext>
                                        </a:extLst>
                                      </xdr:cNvPr>
                                      <xdr:cNvGrpSpPr/>
                                    </xdr:nvGrpSpPr>
                                    <xdr:grpSpPr>
                                      <a:xfrm>
                                        <a:off x="-119279" y="4871640"/>
                                        <a:ext cx="5912783" cy="1447655"/>
                                        <a:chOff x="-119279" y="4871640"/>
                                        <a:chExt cx="5912783" cy="1447655"/>
                                      </a:xfrm>
                                    </xdr:grpSpPr>
                                    <xdr:grpSp>
                                      <xdr:nvGrpSpPr>
                                        <xdr:cNvPr id="364" name="Group 363">
                                          <a:extLst>
                                            <a:ext uri="{FF2B5EF4-FFF2-40B4-BE49-F238E27FC236}">
                                              <a16:creationId xmlns:a16="http://schemas.microsoft.com/office/drawing/2014/main" id="{777D3C34-FD6A-4CD4-B7F5-5A541D384FDA}"/>
                                            </a:ext>
                                          </a:extLst>
                                        </xdr:cNvPr>
                                        <xdr:cNvGrpSpPr/>
                                      </xdr:nvGrpSpPr>
                                      <xdr:grpSpPr>
                                        <a:xfrm>
                                          <a:off x="-119279" y="4871640"/>
                                          <a:ext cx="5912783" cy="1447655"/>
                                          <a:chOff x="-119279" y="7348140"/>
                                          <a:chExt cx="5912783" cy="1447655"/>
                                        </a:xfrm>
                                      </xdr:grpSpPr>
                                      <xdr:grpSp>
                                        <xdr:nvGrpSpPr>
                                          <xdr:cNvPr id="367" name="그룹 199">
                                            <a:extLst>
                                              <a:ext uri="{FF2B5EF4-FFF2-40B4-BE49-F238E27FC236}">
                                                <a16:creationId xmlns:a16="http://schemas.microsoft.com/office/drawing/2014/main" id="{6BA4D8A0-170C-4110-A2FB-DB7F28F378F0}"/>
                                              </a:ext>
                                            </a:extLst>
                                          </xdr:cNvPr>
                                          <xdr:cNvGrpSpPr/>
                                        </xdr:nvGrpSpPr>
                                        <xdr:grpSpPr>
                                          <a:xfrm>
                                            <a:off x="-119279" y="7348140"/>
                                            <a:ext cx="5912783" cy="1447655"/>
                                            <a:chOff x="6356569" y="10055622"/>
                                            <a:chExt cx="5912783" cy="1431780"/>
                                          </a:xfrm>
                                        </xdr:grpSpPr>
                                        <xdr:grpSp>
                                          <xdr:nvGrpSpPr>
                                            <xdr:cNvPr id="369" name="그룹 200">
                                              <a:extLst>
                                                <a:ext uri="{FF2B5EF4-FFF2-40B4-BE49-F238E27FC236}">
                                                  <a16:creationId xmlns:a16="http://schemas.microsoft.com/office/drawing/2014/main" id="{F3231055-EE16-43F5-B527-C8E3889C03CE}"/>
                                                </a:ext>
                                              </a:extLst>
                                            </xdr:cNvPr>
                                            <xdr:cNvGrpSpPr/>
                                          </xdr:nvGrpSpPr>
                                          <xdr:grpSpPr>
                                            <a:xfrm>
                                              <a:off x="11326019" y="10208419"/>
                                              <a:ext cx="617033" cy="174479"/>
                                              <a:chOff x="11341894" y="10203657"/>
                                              <a:chExt cx="617826" cy="176464"/>
                                            </a:xfrm>
                                          </xdr:grpSpPr>
                                          <xdr:cxnSp macro="">
                                            <xdr:nvCxnSpPr>
                                              <xdr:cNvPr id="445" name="직선 화살표 연결선 282">
                                                <a:extLst>
                                                  <a:ext uri="{FF2B5EF4-FFF2-40B4-BE49-F238E27FC236}">
                                                    <a16:creationId xmlns:a16="http://schemas.microsoft.com/office/drawing/2014/main" id="{7FD70622-93AB-4C92-A76B-F9B15AA18A2F}"/>
                                                  </a:ext>
                                                </a:extLst>
                                              </xdr:cNvPr>
                                              <xdr:cNvCxnSpPr/>
                                            </xdr:nvCxnSpPr>
                                            <xdr:spPr>
                                              <a:xfrm>
                                                <a:off x="11582400" y="10306050"/>
                                                <a:ext cx="377320" cy="0"/>
                                              </a:xfrm>
                                              <a:prstGeom prst="straightConnector1">
                                                <a:avLst/>
                                              </a:prstGeom>
                                              <a:ln w="19050">
                                                <a:solidFill>
                                                  <a:srgbClr val="FF0000"/>
                                                </a:solidFill>
                                                <a:tailEnd type="stealth" w="lg" len="lg"/>
                                              </a:ln>
                                            </xdr:spPr>
                                            <xdr:style>
                                              <a:lnRef idx="1">
                                                <a:schemeClr val="accent1"/>
                                              </a:lnRef>
                                              <a:fillRef idx="0">
                                                <a:schemeClr val="accent1"/>
                                              </a:fillRef>
                                              <a:effectRef idx="0">
                                                <a:schemeClr val="accent1"/>
                                              </a:effectRef>
                                              <a:fontRef idx="minor">
                                                <a:schemeClr val="tx1"/>
                                              </a:fontRef>
                                            </xdr:style>
                                          </xdr:cxnSp>
                                          <xdr:sp macro="" textlink="">
                                            <xdr:nvSpPr>
                                              <xdr:cNvPr id="446" name="TextBox 445">
                                                <a:extLst>
                                                  <a:ext uri="{FF2B5EF4-FFF2-40B4-BE49-F238E27FC236}">
                                                    <a16:creationId xmlns:a16="http://schemas.microsoft.com/office/drawing/2014/main" id="{B5D0F84D-9716-4452-A1D3-EF9CEB50FE93}"/>
                                                  </a:ext>
                                                </a:extLst>
                                              </xdr:cNvPr>
                                              <xdr:cNvSpPr txBox="1"/>
                                            </xdr:nvSpPr>
                                            <xdr:spPr>
                                              <a:xfrm>
                                                <a:off x="11341894" y="10203657"/>
                                                <a:ext cx="406757" cy="176464"/>
                                              </a:xfrm>
                                              <a:prstGeom prst="rect">
                                                <a:avLst/>
                                              </a:prstGeom>
                                              <a:noFill/>
                                              <a:ln w="9525" cmpd="sng">
                                                <a:noFill/>
                                              </a:ln>
                                            </xdr:spPr>
                                            <xdr:style>
                                              <a:lnRef idx="0">
                                                <a:scrgbClr r="0" g="0" b="0"/>
                                              </a:lnRef>
                                              <a:fillRef idx="0">
                                                <a:scrgbClr r="0" g="0" b="0"/>
                                              </a:fillRef>
                                              <a:effectRef idx="0">
                                                <a:scrgbClr r="0" g="0" b="0"/>
                                              </a:effectRef>
                                              <a:fontRef idx="minor">
                                                <a:schemeClr val="dk1"/>
                                              </a:fontRef>
                                            </xdr:style>
                                            <xdr:txBody>
                                              <a:bodyPr vertOverflow="clip" horzOverflow="clip" wrap="square" rtlCol="0" anchor="ctr"/>
                                              <a:lstStyle/>
                                              <a:p>
                                                <a:r>
                                                  <a:rPr lang="en-US" sz="900"/>
                                                  <a:t>P</a:t>
                                                </a:r>
                                                <a:r>
                                                  <a:rPr lang="en-US" sz="600"/>
                                                  <a:t>rb</a:t>
                                                </a:r>
                                              </a:p>
                                            </xdr:txBody>
                                          </xdr:sp>
                                        </xdr:grpSp>
                                        <xdr:grpSp>
                                          <xdr:nvGrpSpPr>
                                            <xdr:cNvPr id="370" name="그룹 201">
                                              <a:extLst>
                                                <a:ext uri="{FF2B5EF4-FFF2-40B4-BE49-F238E27FC236}">
                                                  <a16:creationId xmlns:a16="http://schemas.microsoft.com/office/drawing/2014/main" id="{8022600A-8514-4B61-888A-3EA4C99858FC}"/>
                                                </a:ext>
                                              </a:extLst>
                                            </xdr:cNvPr>
                                            <xdr:cNvGrpSpPr/>
                                          </xdr:nvGrpSpPr>
                                          <xdr:grpSpPr>
                                            <a:xfrm>
                                              <a:off x="6356569" y="10055622"/>
                                              <a:ext cx="5912783" cy="1431780"/>
                                              <a:chOff x="6356569" y="10055622"/>
                                              <a:chExt cx="5912783" cy="1431780"/>
                                            </a:xfrm>
                                          </xdr:grpSpPr>
                                          <xdr:grpSp>
                                            <xdr:nvGrpSpPr>
                                              <xdr:cNvPr id="371" name="그룹 202">
                                                <a:extLst>
                                                  <a:ext uri="{FF2B5EF4-FFF2-40B4-BE49-F238E27FC236}">
                                                    <a16:creationId xmlns:a16="http://schemas.microsoft.com/office/drawing/2014/main" id="{35AE5B5F-3BD8-4E44-9804-48ACCB8C0CED}"/>
                                                  </a:ext>
                                                </a:extLst>
                                              </xdr:cNvPr>
                                              <xdr:cNvGrpSpPr/>
                                            </xdr:nvGrpSpPr>
                                            <xdr:grpSpPr>
                                              <a:xfrm>
                                                <a:off x="10810075" y="10079435"/>
                                                <a:ext cx="1459277" cy="1407967"/>
                                                <a:chOff x="10822775" y="10184607"/>
                                                <a:chExt cx="1461658" cy="1421857"/>
                                              </a:xfrm>
                                            </xdr:grpSpPr>
                                            <xdr:grpSp>
                                              <xdr:nvGrpSpPr>
                                                <xdr:cNvPr id="422" name="그룹 259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FF8A57A0-1299-402C-B309-18A449AECD30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0822775" y="10275094"/>
                                                  <a:ext cx="621430" cy="1281107"/>
                                                  <a:chOff x="10339551" y="10668000"/>
                                                  <a:chExt cx="621430" cy="1281107"/>
                                                </a:xfrm>
                                              </xdr:grpSpPr>
                                              <xdr:sp macro="" textlink="">
                                                <xdr:nvSpPr>
                                                  <xdr:cNvPr id="441" name="직사각형 278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B6898FAF-26EB-4486-92D6-10F7E8C36E59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10648950" y="11146630"/>
                                                    <a:ext cx="312031" cy="802477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190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  <xdr:sp macro="" textlink="">
                                                <xdr:nvSpPr>
                                                  <xdr:cNvPr id="442" name="직사각형 279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0DAC5B6C-15CD-4F2D-93D1-2034D197716C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10339551" y="10668000"/>
                                                    <a:ext cx="312042" cy="481012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190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  <xdr:sp macro="" textlink="">
                                                <xdr:nvSpPr>
                                                  <xdr:cNvPr id="443" name="덧셈 기호 280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06414F73-01FF-4765-97EF-2D69B95D201E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10421503" y="10830538"/>
                                                    <a:ext cx="161974" cy="154237"/>
                                                  </a:xfrm>
                                                  <a:prstGeom prst="mathPlus">
                                                    <a:avLst/>
                                                  </a:prstGeom>
                                                  <a:ln w="63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  <xdr:sp macro="" textlink="">
                                                <xdr:nvSpPr>
                                                  <xdr:cNvPr id="444" name="뺄셈 기호 281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0F66B68D-20F8-41DC-8A47-9B544E5607B5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10731229" y="11561195"/>
                                                    <a:ext cx="136637" cy="75970"/>
                                                  </a:xfrm>
                                                  <a:prstGeom prst="mathMinus">
                                                    <a:avLst/>
                                                  </a:prstGeom>
                                                  <a:ln w="63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3" name="그룹 260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2710A944-43B3-45CD-AF00-8B90D685D0FF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339509" y="10184607"/>
                                                  <a:ext cx="620211" cy="176464"/>
                                                  <a:chOff x="11339509" y="10184607"/>
                                                  <a:chExt cx="620211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39" name="직선 화살표 연결선 276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FE7EB6A4-86D7-4FD5-86AE-A05257FEF8FC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>
                                                    <a:off x="11582400" y="10306050"/>
                                                    <a:ext cx="377320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40" name="TextBox 439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C3B24EAA-924F-4E24-A270-5F61E78A66C7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339509" y="10184607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rt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4" name="그룹 261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269F09F1-957A-44BB-A814-ED42EA10879D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341895" y="10401308"/>
                                                  <a:ext cx="617826" cy="176464"/>
                                                  <a:chOff x="11341894" y="10203657"/>
                                                  <a:chExt cx="617826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37" name="직선 화살표 연결선 274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4C670F54-BCE7-4166-9D73-B8C87195B639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>
                                                    <a:off x="11582400" y="10306050"/>
                                                    <a:ext cx="377320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38" name="TextBox 437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C675D37F-4DA0-44E7-A450-0143ADD3B9A3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341894" y="10203657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t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5" name="그룹 262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87DAFA85-8D76-4A2C-8877-EFD06F9A08F3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341895" y="10551328"/>
                                                  <a:ext cx="617826" cy="176464"/>
                                                  <a:chOff x="11341894" y="10203657"/>
                                                  <a:chExt cx="617826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35" name="직선 화살표 연결선 272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E8E97E59-CA6F-47E4-BA8B-85048856FB82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>
                                                    <a:off x="11582400" y="10306050"/>
                                                    <a:ext cx="377320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36" name="TextBox 435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FC903EE6-48CE-4FB8-A494-734CBC19E588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341894" y="10203657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wt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6" name="그룹 263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88A2DE9E-55F5-47F3-87D1-44D4481094CB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558587" y="10906126"/>
                                                  <a:ext cx="721083" cy="176464"/>
                                                  <a:chOff x="11558587" y="10906126"/>
                                                  <a:chExt cx="721083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33" name="직선 화살표 연결선 270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E8AC20BE-3583-4FD5-9239-BA1B4E16E52B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 flipH="1">
                                                    <a:off x="11558587" y="11006138"/>
                                                    <a:ext cx="354359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34" name="TextBox 433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A528A3B4-88F1-4500-AAA8-453E272A102C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872913" y="10906126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wb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7" name="그룹 264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AD1B1D4C-C3D4-416F-A7C3-BEF9BA0E2DCC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568121" y="11220296"/>
                                                  <a:ext cx="706770" cy="176464"/>
                                                  <a:chOff x="11563358" y="10836919"/>
                                                  <a:chExt cx="706770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31" name="직선 화살표 연결선 268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E0E39BE4-F820-4D82-BEDC-23F634A629C8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 flipH="1">
                                                    <a:off x="11563358" y="10941704"/>
                                                    <a:ext cx="354359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32" name="TextBox 431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85681355-BE3B-4A29-B3AF-9DBC27579F98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863371" y="10836919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bot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8" name="그룹 265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4488117B-C8BB-412E-A809-61A864551753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563350" y="11430000"/>
                                                  <a:ext cx="721083" cy="176464"/>
                                                  <a:chOff x="11558587" y="10906126"/>
                                                  <a:chExt cx="721083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29" name="직선 화살표 연결선 266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631C2659-EB9C-4CE6-833B-2D320DC43440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 flipH="1">
                                                    <a:off x="11558587" y="11006138"/>
                                                    <a:ext cx="354359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30" name="TextBox 429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C4FECE6A-4512-4690-B2B1-73FA55305F1B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872913" y="10906126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c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</xdr:grpSp>
                                          <xdr:grpSp>
                                            <xdr:nvGrpSpPr>
                                              <xdr:cNvPr id="372" name="그룹 203">
                                                <a:extLst>
                                                  <a:ext uri="{FF2B5EF4-FFF2-40B4-BE49-F238E27FC236}">
                                                    <a16:creationId xmlns:a16="http://schemas.microsoft.com/office/drawing/2014/main" id="{C22FF48A-C509-4C03-8985-7A4C8673EBE4}"/>
                                                  </a:ext>
                                                </a:extLst>
                                              </xdr:cNvPr>
                                              <xdr:cNvGrpSpPr/>
                                            </xdr:nvGrpSpPr>
                                            <xdr:grpSpPr>
                                              <a:xfrm>
                                                <a:off x="6356569" y="10055622"/>
                                                <a:ext cx="4463430" cy="1381519"/>
                                                <a:chOff x="6365985" y="10160794"/>
                                                <a:chExt cx="4466715" cy="1395409"/>
                                              </a:xfrm>
                                            </xdr:grpSpPr>
                                            <xdr:grpSp>
                                              <xdr:nvGrpSpPr>
                                                <xdr:cNvPr id="373" name="그룹 204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503B66AE-A9F6-4187-9B5A-CE1DDA0183DA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7039870" y="10160794"/>
                                                  <a:ext cx="3792830" cy="1395409"/>
                                                  <a:chOff x="7039870" y="10160794"/>
                                                  <a:chExt cx="3792830" cy="1395409"/>
                                                </a:xfrm>
                                              </xdr:grpSpPr>
                                              <xdr:grpSp>
                                                <xdr:nvGrpSpPr>
                                                  <xdr:cNvPr id="386" name="그룹 222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D1A93344-469B-41BA-A8F5-FC2FC0DF5896}"/>
                                                      </a:ext>
                                                    </a:extLst>
                                                  </xdr:cNvPr>
                                                  <xdr:cNvGrpSpPr/>
                                                </xdr:nvGrpSpPr>
                                                <xdr:grpSpPr>
                                                  <a:xfrm>
                                                    <a:off x="7039870" y="10160794"/>
                                                    <a:ext cx="3792830" cy="1395409"/>
                                                    <a:chOff x="7032577" y="10160794"/>
                                                    <a:chExt cx="3788357" cy="1395409"/>
                                                  </a:xfrm>
                                                </xdr:grpSpPr>
                                                <xdr:sp macro="" textlink="">
                                                  <xdr:nvSpPr>
                                                    <xdr:cNvPr id="389" name="TextBox 388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3764B2DA-75AF-476E-823D-A1CAD78E72A7}"/>
                                                        </a:ext>
                                                      </a:extLst>
                                                    </xdr:cNvPr>
                                                    <xdr:cNvSpPr txBox="1"/>
                                                  </xdr:nvSpPr>
                                                  <xdr:spPr>
                                                    <a:xfrm>
                                                      <a:off x="10373723" y="10349733"/>
                                                      <a:ext cx="447211" cy="145256"/>
                                                    </a:xfrm>
                                                    <a:prstGeom prst="rect">
                                                      <a:avLst/>
                                                    </a:prstGeom>
                                                    <a:noFill/>
                                                    <a:ln w="9525" cmpd="sng">
                                                      <a:noFill/>
                                                    </a:ln>
                                                  </xdr:spPr>
                                                  <xdr:style>
                                                    <a:lnRef idx="0">
                                                      <a:scrgbClr r="0" g="0" b="0"/>
                                                    </a:lnRef>
                                                    <a:fillRef idx="0">
                                                      <a:scrgbClr r="0" g="0" b="0"/>
                                                    </a:fillRef>
                                                    <a:effectRef idx="0">
                                                      <a:scrgbClr r="0" g="0" b="0"/>
                                                    </a:effectRef>
                                                    <a:fontRef idx="minor">
                                                      <a:schemeClr val="dk1"/>
                                                    </a:fontRef>
                                                  </xdr:style>
                                                  <xdr:txBody>
                                                    <a:bodyPr vertOverflow="clip" horzOverflow="clip" wrap="square" rtlCol="0" anchor="ctr"/>
                                                    <a:lstStyle/>
                                                    <a:p>
                                                      <a:r>
                                                        <a:rPr lang="en-US" sz="900"/>
                                                        <a:t>P</a:t>
                                                      </a:r>
                                                      <a:r>
                                                        <a:rPr lang="en-US" sz="600" baseline="0"/>
                                                        <a:t>s</a:t>
                                                      </a:r>
                                                    </a:p>
                                                  </xdr:txBody>
                                                </xdr:sp>
                                                <xdr:grpSp>
                                                  <xdr:nvGrpSpPr>
                                                    <xdr:cNvPr id="390" name="그룹 226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FF5228C1-9EC0-4E98-ACF2-995B12E58A92}"/>
                                                        </a:ext>
                                                      </a:extLst>
                                                    </xdr:cNvPr>
                                                    <xdr:cNvGrpSpPr/>
                                                  </xdr:nvGrpSpPr>
                                                  <xdr:grpSpPr>
                                                    <a:xfrm>
                                                      <a:off x="9194035" y="10275096"/>
                                                      <a:ext cx="623348" cy="1281107"/>
                                                      <a:chOff x="9901772" y="10270333"/>
                                                      <a:chExt cx="623908" cy="1281107"/>
                                                    </a:xfrm>
                                                  </xdr:grpSpPr>
                                                  <xdr:sp macro="" textlink="">
                                                    <xdr:nvSpPr>
                                                      <xdr:cNvPr id="420" name="직사각형 257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EA93E965-C612-4B89-89CF-9394700E497F}"/>
                                                          </a:ext>
                                                        </a:extLst>
                                                      </xdr:cNvPr>
                                                      <xdr:cNvSpPr/>
                                                    </xdr:nvSpPr>
                                                    <xdr:spPr>
                                                      <a:xfrm>
                                                        <a:off x="9901772" y="10748963"/>
                                                        <a:ext cx="311944" cy="802477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19050"/>
                                                    </xdr:spPr>
                                                    <xdr:style>
                                                      <a:lnRef idx="2">
                                                        <a:schemeClr val="accent1">
                                                          <a:shade val="50000"/>
                                                        </a:schemeClr>
                                                      </a:lnRef>
                                                      <a:fillRef idx="1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lt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rtlCol="0" anchor="t"/>
                                                      <a:lstStyle/>
                                                      <a:p>
                                                        <a:pPr algn="l"/>
                                                        <a:endParaRPr lang="en-US" sz="1100"/>
                                                      </a:p>
                                                    </xdr:txBody>
                                                  </xdr:sp>
                                                  <xdr:sp macro="" textlink="">
                                                    <xdr:nvSpPr>
                                                      <xdr:cNvPr id="421" name="직사각형 258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81E24D04-DC6A-49C2-8F6A-CB1D5E829139}"/>
                                                          </a:ext>
                                                        </a:extLst>
                                                      </xdr:cNvPr>
                                                      <xdr:cNvSpPr/>
                                                    </xdr:nvSpPr>
                                                    <xdr:spPr>
                                                      <a:xfrm>
                                                        <a:off x="10213726" y="10270333"/>
                                                        <a:ext cx="311954" cy="481012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19050"/>
                                                    </xdr:spPr>
                                                    <xdr:style>
                                                      <a:lnRef idx="2">
                                                        <a:schemeClr val="accent1">
                                                          <a:shade val="50000"/>
                                                        </a:schemeClr>
                                                      </a:lnRef>
                                                      <a:fillRef idx="1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lt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rtlCol="0" anchor="t"/>
                                                      <a:lstStyle/>
                                                      <a:p>
                                                        <a:pPr algn="l"/>
                                                        <a:endParaRPr lang="en-US" sz="1100"/>
                                                      </a:p>
                                                    </xdr:txBody>
                                                  </xdr:sp>
                                                </xdr:grpSp>
                                                <xdr:grpSp>
                                                  <xdr:nvGrpSpPr>
                                                    <xdr:cNvPr id="391" name="그룹 227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B26D1942-A595-4A82-A844-09FF4E2E375F}"/>
                                                        </a:ext>
                                                      </a:extLst>
                                                    </xdr:cNvPr>
                                                    <xdr:cNvGrpSpPr/>
                                                  </xdr:nvGrpSpPr>
                                                  <xdr:grpSpPr>
                                                    <a:xfrm>
                                                      <a:off x="7032577" y="10160794"/>
                                                      <a:ext cx="3649852" cy="1366769"/>
                                                      <a:chOff x="7032577" y="10160794"/>
                                                      <a:chExt cx="3649852" cy="1366769"/>
                                                    </a:xfrm>
                                                  </xdr:grpSpPr>
                                                  <xdr:grpSp>
                                                    <xdr:nvGrpSpPr>
                                                      <xdr:cNvPr id="392" name="그룹 228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A6F6B9B0-3A43-4F4D-9B3C-A55FE18A1760}"/>
                                                          </a:ext>
                                                        </a:extLst>
                                                      </xdr:cNvPr>
                                                      <xdr:cNvGrpSpPr/>
                                                    </xdr:nvGrpSpPr>
                                                    <xdr:grpSpPr>
                                                      <a:xfrm>
                                                        <a:off x="7032577" y="10275867"/>
                                                        <a:ext cx="3303608" cy="1251696"/>
                                                        <a:chOff x="7039872" y="10275867"/>
                                                        <a:chExt cx="3307689" cy="1251696"/>
                                                      </a:xfrm>
                                                    </xdr:grpSpPr>
                                                    <xdr:sp macro="" textlink="">
                                                      <xdr:nvSpPr>
                                                        <xdr:cNvPr id="401" name="자유형 240">
                                                          <a:extLst>
                                                            <a:ext uri="{FF2B5EF4-FFF2-40B4-BE49-F238E27FC236}">
                                                              <a16:creationId xmlns:a16="http://schemas.microsoft.com/office/drawing/2014/main" id="{00765853-2F63-4C98-9BC3-5A9EE3D7D743}"/>
                                                            </a:ext>
                                                          </a:extLst>
                                                        </xdr:cNvPr>
                                                        <xdr:cNvSpPr/>
                                                      </xdr:nvSpPr>
                                                      <xdr:spPr>
                                                        <a:xfrm>
                                                          <a:off x="7731505" y="11263914"/>
                                                          <a:ext cx="738124" cy="258147"/>
                                                        </a:xfrm>
                                                        <a:custGeom>
                                                          <a:avLst/>
                                                          <a:gdLst>
                                                            <a:gd name="connsiteX0" fmla="*/ 0 w 702468"/>
                                                            <a:gd name="connsiteY0" fmla="*/ 0 h 233363"/>
                                                            <a:gd name="connsiteX1" fmla="*/ 702468 w 702468"/>
                                                            <a:gd name="connsiteY1" fmla="*/ 0 h 233363"/>
                                                            <a:gd name="connsiteX2" fmla="*/ 652462 w 702468"/>
                                                            <a:gd name="connsiteY2" fmla="*/ 233363 h 233363"/>
                                                            <a:gd name="connsiteX3" fmla="*/ 40481 w 702468"/>
                                                            <a:gd name="connsiteY3" fmla="*/ 233363 h 233363"/>
                                                            <a:gd name="connsiteX4" fmla="*/ 0 w 702468"/>
                                                            <a:gd name="connsiteY4" fmla="*/ 0 h 233363"/>
                                                          </a:gdLst>
                                                          <a:ahLst/>
                                                          <a:cxnLst>
                                                            <a:cxn ang="0">
                                                              <a:pos x="connsiteX0" y="connsiteY0"/>
                                                            </a:cxn>
                                                            <a:cxn ang="0">
                                                              <a:pos x="connsiteX1" y="connsiteY1"/>
                                                            </a:cxn>
                                                            <a:cxn ang="0">
                                                              <a:pos x="connsiteX2" y="connsiteY2"/>
                                                            </a:cxn>
                                                            <a:cxn ang="0">
                                                              <a:pos x="connsiteX3" y="connsiteY3"/>
                                                            </a:cxn>
                                                            <a:cxn ang="0">
                                                              <a:pos x="connsiteX4" y="connsiteY4"/>
                                                            </a:cxn>
                                                          </a:cxnLst>
                                                          <a:rect l="l" t="t" r="r" b="b"/>
                                                          <a:pathLst>
                                                            <a:path w="702468" h="233363">
                                                              <a:moveTo>
                                                                <a:pt x="0" y="0"/>
                                                              </a:moveTo>
                                                              <a:lnTo>
                                                                <a:pt x="702468" y="0"/>
                                                              </a:lnTo>
                                                              <a:lnTo>
                                                                <a:pt x="652462" y="233363"/>
                                                              </a:lnTo>
                                                              <a:lnTo>
                                                                <a:pt x="40481" y="233363"/>
                                                              </a:lnTo>
                                                              <a:lnTo>
                                                                <a:pt x="0" y="0"/>
                                                              </a:lnTo>
                                                              <a:close/>
                                                            </a:path>
                                                          </a:pathLst>
                                                        </a:custGeom>
                                                        <a:solidFill>
                                                          <a:schemeClr val="accent6">
                                                            <a:lumMod val="60000"/>
                                                            <a:lumOff val="40000"/>
                                                          </a:schemeClr>
                                                        </a:solidFill>
                                                        <a:ln w="6350"/>
                                                      </xdr:spPr>
                                                      <xdr:style>
                                                        <a:lnRef idx="2">
                                                          <a:schemeClr val="accent1">
                                                            <a:shade val="50000"/>
                                                          </a:schemeClr>
                                                        </a:lnRef>
                                                        <a:fillRef idx="1">
                                                          <a:schemeClr val="accent1"/>
                                                        </a:fillRef>
                                                        <a:effectRef idx="0">
                                                          <a:schemeClr val="accent1"/>
                                                        </a:effectRef>
                                                        <a:fontRef idx="minor">
                                                          <a:schemeClr val="lt1"/>
                                                        </a:fontRef>
                                                      </xdr:style>
                                                      <xdr:txBody>
                                                        <a:bodyPr vertOverflow="clip" horzOverflow="clip" rtlCol="0" anchor="t"/>
                                                        <a:lstStyle/>
                                                        <a:p>
                                                          <a:pPr algn="l"/>
                                                          <a:endParaRPr lang="en-US" sz="1100"/>
                                                        </a:p>
                                                      </xdr:txBody>
                                                    </xdr:sp>
                                                    <xdr:grpSp>
                                                      <xdr:nvGrpSpPr>
                                                        <xdr:cNvPr id="402" name="그룹 237">
                                                          <a:extLst>
                                                            <a:ext uri="{FF2B5EF4-FFF2-40B4-BE49-F238E27FC236}">
                                                              <a16:creationId xmlns:a16="http://schemas.microsoft.com/office/drawing/2014/main" id="{7936A51A-9212-43FB-8FB4-3416A93358CE}"/>
                                                            </a:ext>
                                                          </a:extLst>
                                                        </xdr:cNvPr>
                                                        <xdr:cNvGrpSpPr/>
                                                      </xdr:nvGrpSpPr>
                                                      <xdr:grpSpPr>
                                                        <a:xfrm>
                                                          <a:off x="7039872" y="10275867"/>
                                                          <a:ext cx="3307689" cy="1251696"/>
                                                          <a:chOff x="7017949" y="8113677"/>
                                                          <a:chExt cx="2646865" cy="936830"/>
                                                        </a:xfrm>
                                                      </xdr:grpSpPr>
                                                      <xdr:grpSp>
                                                        <xdr:nvGrpSpPr>
                                                          <xdr:cNvPr id="405" name="그룹 241">
                                                            <a:extLst>
                                                              <a:ext uri="{FF2B5EF4-FFF2-40B4-BE49-F238E27FC236}">
                                                                <a16:creationId xmlns:a16="http://schemas.microsoft.com/office/drawing/2014/main" id="{D9B30409-892B-4D51-9996-3341F3F5EE0E}"/>
                                                              </a:ext>
                                                            </a:extLst>
                                                          </xdr:cNvPr>
                                                          <xdr:cNvGrpSpPr/>
                                                        </xdr:nvGrpSpPr>
                                                        <xdr:grpSpPr>
                                                          <a:xfrm>
                                                            <a:off x="7017949" y="8113677"/>
                                                            <a:ext cx="2646865" cy="936830"/>
                                                            <a:chOff x="6896101" y="6875427"/>
                                                            <a:chExt cx="3151908" cy="945662"/>
                                                          </a:xfrm>
                                                        </xdr:grpSpPr>
                                                        <xdr:grpSp>
                                                          <xdr:nvGrpSpPr>
                                                            <xdr:cNvPr id="407" name="그룹 243">
                                                              <a:extLst>
                                                                <a:ext uri="{FF2B5EF4-FFF2-40B4-BE49-F238E27FC236}">
                                                                  <a16:creationId xmlns:a16="http://schemas.microsoft.com/office/drawing/2014/main" id="{5BBB38BC-31E8-48F5-8F75-AAD1CAE61439}"/>
                                                                </a:ext>
                                                              </a:extLst>
                                                            </xdr:cNvPr>
                                                            <xdr:cNvGrpSpPr/>
                                                          </xdr:nvGrpSpPr>
                                                          <xdr:grpSpPr>
                                                            <a:xfrm>
                                                              <a:off x="6896101" y="6875427"/>
                                                              <a:ext cx="3119156" cy="945662"/>
                                                              <a:chOff x="240127" y="1908063"/>
                                                              <a:chExt cx="4214497" cy="1210966"/>
                                                            </a:xfrm>
                                                          </xdr:grpSpPr>
                                                          <xdr:grpSp>
                                                            <xdr:nvGrpSpPr>
                                                              <xdr:cNvPr id="412" name="그룹 248">
                                                                <a:extLst>
                                                                  <a:ext uri="{FF2B5EF4-FFF2-40B4-BE49-F238E27FC236}">
                                                                    <a16:creationId xmlns:a16="http://schemas.microsoft.com/office/drawing/2014/main" id="{D85C2E73-344A-40A5-A801-4B9F27FDAD55}"/>
                                                                  </a:ext>
                                                                </a:extLst>
                                                              </xdr:cNvPr>
                                                              <xdr:cNvGrpSpPr/>
                                                            </xdr:nvGrpSpPr>
                                                            <xdr:grpSpPr>
                                                              <a:xfrm>
                                                                <a:off x="240127" y="1908063"/>
                                                                <a:ext cx="2720768" cy="1206463"/>
                                                                <a:chOff x="240127" y="1908063"/>
                                                                <a:chExt cx="2720768" cy="1206463"/>
                                                              </a:xfrm>
                                                            </xdr:grpSpPr>
                                                            <xdr:grpSp>
                                                              <xdr:nvGrpSpPr>
                                                                <xdr:cNvPr id="414" name="그룹 250">
                                                                  <a:extLst>
                                                                    <a:ext uri="{FF2B5EF4-FFF2-40B4-BE49-F238E27FC236}">
                                                                      <a16:creationId xmlns:a16="http://schemas.microsoft.com/office/drawing/2014/main" id="{F3FB75A2-7FAC-4E59-A2A2-919168290E38}"/>
                                                                    </a:ext>
                                                                  </a:extLst>
                                                                </xdr:cNvPr>
                                                                <xdr:cNvGrpSpPr/>
                                                              </xdr:nvGrpSpPr>
                                                              <xdr:grpSpPr>
                                                                <a:xfrm>
                                                                  <a:off x="240127" y="1908063"/>
                                                                  <a:ext cx="2720768" cy="1206463"/>
                                                                  <a:chOff x="1294701" y="2215059"/>
                                                                  <a:chExt cx="2300486" cy="1108468"/>
                                                                </a:xfrm>
                                                              </xdr:grpSpPr>
                                                              <xdr:grpSp>
                                                                <xdr:nvGrpSpPr>
                                                                  <xdr:cNvPr id="416" name="그룹 252">
                                                                    <a:extLst>
                                                                      <a:ext uri="{FF2B5EF4-FFF2-40B4-BE49-F238E27FC236}">
                                                                        <a16:creationId xmlns:a16="http://schemas.microsoft.com/office/drawing/2014/main" id="{CF9AAD38-53D5-4D20-9AD5-824C0301D2DB}"/>
                                                                      </a:ext>
                                                                    </a:extLst>
                                                                  </xdr:cNvPr>
                                                                  <xdr:cNvGrpSpPr/>
                                                                </xdr:nvGrpSpPr>
                                                                <xdr:grpSpPr>
                                                                  <a:xfrm>
                                                                    <a:off x="1875140" y="2436996"/>
                                                                    <a:ext cx="1147515" cy="886531"/>
                                                                    <a:chOff x="952501" y="2485807"/>
                                                                    <a:chExt cx="1123949" cy="867599"/>
                                                                  </a:xfrm>
                                                                </xdr:grpSpPr>
                                                                <xdr:cxnSp macro="">
                                                                  <xdr:nvCxnSpPr>
                                                                    <xdr:cNvPr id="418" name="직선 연결선 255">
                                                                      <a:extLst>
                                                                        <a:ext uri="{FF2B5EF4-FFF2-40B4-BE49-F238E27FC236}">
                                                                          <a16:creationId xmlns:a16="http://schemas.microsoft.com/office/drawing/2014/main" id="{0377811A-14B0-407A-9237-114D3481DE44}"/>
                                                                        </a:ext>
                                                                      </a:extLst>
                                                                    </xdr:cNvPr>
                                                                    <xdr:cNvCxnSpPr/>
                                                                  </xdr:nvCxnSpPr>
                                                                  <xdr:spPr>
                                                                    <a:xfrm flipH="1" flipV="1">
                                                                      <a:off x="952501" y="2485807"/>
                                                                      <a:ext cx="218352" cy="867599"/>
                                                                    </a:xfrm>
                                                                    <a:prstGeom prst="line">
                                                                      <a:avLst/>
                                                                    </a:prstGeom>
                                                                    <a:ln w="57150"/>
                                                                  </xdr:spPr>
                                                                  <xdr:style>
                                                                    <a:lnRef idx="1">
                                                                      <a:schemeClr val="accent1"/>
                                                                    </a:lnRef>
                                                                    <a:fillRef idx="0">
                                                                      <a:schemeClr val="accent1"/>
                                                                    </a:fillRef>
                                                                    <a:effectRef idx="0">
                                                                      <a:schemeClr val="accent1"/>
                                                                    </a:effectRef>
                                                                    <a:fontRef idx="minor">
                                                                      <a:schemeClr val="tx1"/>
                                                                    </a:fontRef>
                                                                  </xdr:style>
                                                                </xdr:cxnSp>
                                                                <xdr:cxnSp macro="">
                                                                  <xdr:nvCxnSpPr>
                                                                    <xdr:cNvPr id="419" name="직선 연결선 256">
                                                                      <a:extLst>
                                                                        <a:ext uri="{FF2B5EF4-FFF2-40B4-BE49-F238E27FC236}">
                                                                          <a16:creationId xmlns:a16="http://schemas.microsoft.com/office/drawing/2014/main" id="{91770C8A-A777-4052-A5E3-0EE2E1BE4A2D}"/>
                                                                        </a:ext>
                                                                      </a:extLst>
                                                                    </xdr:cNvPr>
                                                                    <xdr:cNvCxnSpPr/>
                                                                  </xdr:nvCxnSpPr>
                                                                  <xdr:spPr>
                                                                    <a:xfrm flipV="1">
                                                                      <a:off x="1875510" y="2495331"/>
                                                                      <a:ext cx="200940" cy="855663"/>
                                                                    </a:xfrm>
                                                                    <a:prstGeom prst="line">
                                                                      <a:avLst/>
                                                                    </a:prstGeom>
                                                                    <a:ln w="57150"/>
                                                                  </xdr:spPr>
                                                                  <xdr:style>
                                                                    <a:lnRef idx="1">
                                                                      <a:schemeClr val="accent1"/>
                                                                    </a:lnRef>
                                                                    <a:fillRef idx="0">
                                                                      <a:schemeClr val="accent1"/>
                                                                    </a:fillRef>
                                                                    <a:effectRef idx="0">
                                                                      <a:schemeClr val="accent1"/>
                                                                    </a:effectRef>
                                                                    <a:fontRef idx="minor">
                                                                      <a:schemeClr val="tx1"/>
                                                                    </a:fontRef>
                                                                  </xdr:style>
                                                                </xdr:cxnSp>
                                                              </xdr:grpSp>
                                                              <xdr:sp macro="" textlink="">
                                                                <xdr:nvSpPr>
                                                                  <xdr:cNvPr id="417" name="자유형 253">
                                                                    <a:extLst>
                                                                      <a:ext uri="{FF2B5EF4-FFF2-40B4-BE49-F238E27FC236}">
                                                                        <a16:creationId xmlns:a16="http://schemas.microsoft.com/office/drawing/2014/main" id="{AB719D5F-6431-4BA2-95A8-A8472667E635}"/>
                                                                      </a:ext>
                                                                    </a:extLst>
                                                                  </xdr:cNvPr>
                                                                  <xdr:cNvSpPr/>
                                                                </xdr:nvSpPr>
                                                                <xdr:spPr>
                                                                  <a:xfrm>
                                                                    <a:off x="1294701" y="2215059"/>
                                                                    <a:ext cx="2300486" cy="237904"/>
                                                                  </a:xfrm>
                                                                  <a:custGeom>
                                                                    <a:avLst/>
                                                                    <a:gdLst>
                                                                      <a:gd name="connsiteX0" fmla="*/ 270761 w 2267627"/>
                                                                      <a:gd name="connsiteY0" fmla="*/ 169226 h 234499"/>
                                                                      <a:gd name="connsiteX1" fmla="*/ 0 w 2267627"/>
                                                                      <a:gd name="connsiteY1" fmla="*/ 169226 h 234499"/>
                                                                      <a:gd name="connsiteX2" fmla="*/ 0 w 2267627"/>
                                                                      <a:gd name="connsiteY2" fmla="*/ 0 h 234499"/>
                                                                      <a:gd name="connsiteX3" fmla="*/ 2267627 w 2267627"/>
                                                                      <a:gd name="connsiteY3" fmla="*/ 0 h 234499"/>
                                                                      <a:gd name="connsiteX4" fmla="*/ 2267627 w 2267627"/>
                                                                      <a:gd name="connsiteY4" fmla="*/ 164391 h 234499"/>
                                                                      <a:gd name="connsiteX5" fmla="*/ 1996865 w 2267627"/>
                                                                      <a:gd name="connsiteY5" fmla="*/ 164391 h 234499"/>
                                                                      <a:gd name="connsiteX6" fmla="*/ 1926757 w 2267627"/>
                                                                      <a:gd name="connsiteY6" fmla="*/ 234499 h 234499"/>
                                                                      <a:gd name="connsiteX7" fmla="*/ 336034 w 2267627"/>
                                                                      <a:gd name="connsiteY7" fmla="*/ 234499 h 234499"/>
                                                                      <a:gd name="connsiteX8" fmla="*/ 270761 w 2267627"/>
                                                                      <a:gd name="connsiteY8" fmla="*/ 169226 h 234499"/>
                                                                    </a:gdLst>
                                                                    <a:ahLst/>
                                                                    <a:cxnLst>
                                                                      <a:cxn ang="0">
                                                                        <a:pos x="connsiteX0" y="connsiteY0"/>
                                                                      </a:cxn>
                                                                      <a:cxn ang="0">
                                                                        <a:pos x="connsiteX1" y="connsiteY1"/>
                                                                      </a:cxn>
                                                                      <a:cxn ang="0">
                                                                        <a:pos x="connsiteX2" y="connsiteY2"/>
                                                                      </a:cxn>
                                                                      <a:cxn ang="0">
                                                                        <a:pos x="connsiteX3" y="connsiteY3"/>
                                                                      </a:cxn>
                                                                      <a:cxn ang="0">
                                                                        <a:pos x="connsiteX4" y="connsiteY4"/>
                                                                      </a:cxn>
                                                                      <a:cxn ang="0">
                                                                        <a:pos x="connsiteX5" y="connsiteY5"/>
                                                                      </a:cxn>
                                                                      <a:cxn ang="0">
                                                                        <a:pos x="connsiteX6" y="connsiteY6"/>
                                                                      </a:cxn>
                                                                      <a:cxn ang="0">
                                                                        <a:pos x="connsiteX7" y="connsiteY7"/>
                                                                      </a:cxn>
                                                                      <a:cxn ang="0">
                                                                        <a:pos x="connsiteX8" y="connsiteY8"/>
                                                                      </a:cxn>
                                                                    </a:cxnLst>
                                                                    <a:rect l="l" t="t" r="r" b="b"/>
                                                                    <a:pathLst>
                                                                      <a:path w="2267627" h="234499">
                                                                        <a:moveTo>
                                                                          <a:pt x="270761" y="169226"/>
                                                                        </a:moveTo>
                                                                        <a:lnTo>
                                                                          <a:pt x="0" y="169226"/>
                                                                        </a:lnTo>
                                                                        <a:lnTo>
                                                                          <a:pt x="0" y="0"/>
                                                                        </a:lnTo>
                                                                        <a:lnTo>
                                                                          <a:pt x="2267627" y="0"/>
                                                                        </a:lnTo>
                                                                        <a:lnTo>
                                                                          <a:pt x="2267627" y="164391"/>
                                                                        </a:lnTo>
                                                                        <a:lnTo>
                                                                          <a:pt x="1996865" y="164391"/>
                                                                        </a:lnTo>
                                                                        <a:lnTo>
                                                                          <a:pt x="1926757" y="234499"/>
                                                                        </a:lnTo>
                                                                        <a:lnTo>
                                                                          <a:pt x="336034" y="234499"/>
                                                                        </a:lnTo>
                                                                        <a:lnTo>
                                                                          <a:pt x="270761" y="169226"/>
                                                                        </a:lnTo>
                                                                        <a:close/>
                                                                      </a:path>
                                                                    </a:pathLst>
                                                                  </a:custGeom>
                                                                  <a:solidFill>
                                                                    <a:schemeClr val="accent6">
                                                                      <a:lumMod val="40000"/>
                                                                      <a:lumOff val="60000"/>
                                                                    </a:schemeClr>
                                                                  </a:solidFill>
                                                                  <a:ln w="15875"/>
                                                                </xdr:spPr>
                                                                <xdr:style>
                                                                  <a:lnRef idx="2">
                                                                    <a:schemeClr val="accent1">
                                                                      <a:shade val="50000"/>
                                                                    </a:schemeClr>
                                                                  </a:lnRef>
                                                                  <a:fillRef idx="1">
                                                                    <a:schemeClr val="accent1"/>
                                                                  </a:fillRef>
                                                                  <a:effectRef idx="0">
                                                                    <a:schemeClr val="accent1"/>
                                                                  </a:effectRef>
                                                                  <a:fontRef idx="minor">
                                                                    <a:schemeClr val="lt1"/>
                                                                  </a:fontRef>
                                                                </xdr:style>
                                                                <xdr:txBody>
                                                                  <a:bodyPr vertOverflow="clip" horzOverflow="clip" rtlCol="0" anchor="t"/>
                                                                  <a:lstStyle/>
                                                                  <a:p>
                                                                    <a:pPr algn="l"/>
                                                                    <a:endParaRPr lang="en-US" sz="1100"/>
                                                                  </a:p>
                                                                </xdr:txBody>
                                                              </xdr:sp>
                                                            </xdr:grpSp>
                                                            <xdr:cxnSp macro="">
                                                              <xdr:nvCxnSpPr>
                                                                <xdr:cNvPr id="415" name="직선 연결선 251">
                                                                  <a:extLst>
                                                                    <a:ext uri="{FF2B5EF4-FFF2-40B4-BE49-F238E27FC236}">
                                                                      <a16:creationId xmlns:a16="http://schemas.microsoft.com/office/drawing/2014/main" id="{1FC025B3-31C8-4D84-9C7A-7081F8B872A3}"/>
                                                                    </a:ext>
                                                                  </a:extLst>
                                                                </xdr:cNvPr>
                                                                <xdr:cNvCxnSpPr/>
                                                              </xdr:nvCxnSpPr>
                                                              <xdr:spPr>
                                                                <a:xfrm>
                                                                  <a:off x="767304" y="2142942"/>
                                                                  <a:ext cx="1679196" cy="0"/>
                                                                </a:xfrm>
                                                                <a:prstGeom prst="line">
                                                                  <a:avLst/>
                                                                </a:prstGeom>
                                                                <a:ln w="57150"/>
                                                              </xdr:spPr>
                                                              <xdr:style>
                                                                <a:lnRef idx="1">
                                                                  <a:schemeClr val="accent1"/>
                                                                </a:lnRef>
                                                                <a:fillRef idx="0">
                                                                  <a:schemeClr val="accent1"/>
                                                                </a:fillRef>
                                                                <a:effectRef idx="0">
                                                                  <a:schemeClr val="accent1"/>
                                                                </a:effectRef>
                                                                <a:fontRef idx="minor">
                                                                  <a:schemeClr val="tx1"/>
                                                                </a:fontRef>
                                                              </xdr:style>
                                                            </xdr:cxnSp>
                                                          </xdr:grpSp>
                                                          <xdr:sp macro="" textlink="">
                                                            <xdr:nvSpPr>
                                                              <xdr:cNvPr id="413" name="TextBox 412">
                                                                <a:extLst>
                                                                  <a:ext uri="{FF2B5EF4-FFF2-40B4-BE49-F238E27FC236}">
                                                                    <a16:creationId xmlns:a16="http://schemas.microsoft.com/office/drawing/2014/main" id="{331011BD-7E75-49D9-B6CF-68D0AB24C5CC}"/>
                                                                  </a:ext>
                                                                </a:extLst>
                                                              </xdr:cNvPr>
                                                              <xdr:cNvSpPr txBox="1"/>
                                                            </xdr:nvSpPr>
                                                            <xdr:spPr>
                                                              <a:xfrm>
                                                                <a:off x="4049797" y="2978500"/>
                                                                <a:ext cx="404827" cy="140529"/>
                                                              </a:xfrm>
                                                              <a:prstGeom prst="rect">
                                                                <a:avLst/>
                                                              </a:prstGeom>
                                                              <a:noFill/>
                                                              <a:ln w="9525" cmpd="sng">
                                                                <a:noFill/>
                                                              </a:ln>
                                                            </xdr:spPr>
                                                            <xdr:style>
                                                              <a:lnRef idx="0">
                                                                <a:scrgbClr r="0" g="0" b="0"/>
                                                              </a:lnRef>
                                                              <a:fillRef idx="0">
                                                                <a:scrgbClr r="0" g="0" b="0"/>
                                                              </a:fillRef>
                                                              <a:effectRef idx="0">
                                                                <a:scrgbClr r="0" g="0" b="0"/>
                                                              </a:effectRef>
                                                              <a:fontRef idx="minor">
                                                                <a:schemeClr val="dk1"/>
                                                              </a:fontRef>
                                                            </xdr:style>
                                                            <xdr:txBody>
                                                              <a:bodyPr vertOverflow="clip" horzOverflow="clip" wrap="square" rtlCol="0" anchor="ctr"/>
                                                              <a:lstStyle/>
                                                              <a:p>
                                                                <a:r>
                                                                  <a:rPr lang="en-US" sz="900"/>
                                                                  <a:t>P</a:t>
                                                                </a:r>
                                                                <a:r>
                                                                  <a:rPr lang="en-US" sz="600"/>
                                                                  <a:t>t</a:t>
                                                                </a:r>
                                                              </a:p>
                                                            </xdr:txBody>
                                                          </xdr:sp>
                                                        </xdr:grpSp>
                                                        <xdr:cxnSp macro="">
                                                          <xdr:nvCxnSpPr>
                                                            <xdr:cNvPr id="408" name="직선 화살표 연결선 244">
                                                              <a:extLst>
                                                                <a:ext uri="{FF2B5EF4-FFF2-40B4-BE49-F238E27FC236}">
                                                                  <a16:creationId xmlns:a16="http://schemas.microsoft.com/office/drawing/2014/main" id="{BDD0F3FA-638F-4032-B0AA-284CB7B773CE}"/>
                                                                </a:ext>
                                                              </a:extLst>
                                                            </xdr:cNvPr>
                                                            <xdr:cNvCxnSpPr/>
                                                          </xdr:nvCxnSpPr>
                                                          <xdr:spPr>
                                                            <a:xfrm>
                                                              <a:off x="9683113" y="7819492"/>
                                                              <a:ext cx="359569" cy="0"/>
                                                            </a:xfrm>
                                                            <a:prstGeom prst="straightConnector1">
                                                              <a:avLst/>
                                                            </a:prstGeom>
                                                            <a:ln w="19050">
                                                              <a:solidFill>
                                                                <a:srgbClr val="FF0000"/>
                                                              </a:solidFill>
                                                              <a:tailEnd type="stealth" w="lg" len="lg"/>
                                                            </a:ln>
                                                          </xdr:spPr>
                                                          <xdr:style>
                                                            <a:lnRef idx="1">
                                                              <a:schemeClr val="accent1"/>
                                                            </a:lnRef>
                                                            <a:fillRef idx="0">
                                                              <a:schemeClr val="accent1"/>
                                                            </a:fillRef>
                                                            <a:effectRef idx="0">
                                                              <a:schemeClr val="accent1"/>
                                                            </a:effectRef>
                                                            <a:fontRef idx="minor">
                                                              <a:schemeClr val="tx1"/>
                                                            </a:fontRef>
                                                          </xdr:style>
                                                        </xdr:cxnSp>
                                                        <xdr:grpSp>
                                                          <xdr:nvGrpSpPr>
                                                            <xdr:cNvPr id="409" name="그룹 245">
                                                              <a:extLst>
                                                                <a:ext uri="{FF2B5EF4-FFF2-40B4-BE49-F238E27FC236}">
                                                                  <a16:creationId xmlns:a16="http://schemas.microsoft.com/office/drawing/2014/main" id="{D89EC57D-A91D-4DE9-AC1A-F8ADB131A8C9}"/>
                                                                </a:ext>
                                                              </a:extLst>
                                                            </xdr:cNvPr>
                                                            <xdr:cNvGrpSpPr/>
                                                          </xdr:nvGrpSpPr>
                                                          <xdr:grpSpPr>
                                                            <a:xfrm>
                                                              <a:off x="9649440" y="7372982"/>
                                                              <a:ext cx="398569" cy="147716"/>
                                                              <a:chOff x="9725640" y="7649207"/>
                                                              <a:chExt cx="398569" cy="147716"/>
                                                            </a:xfrm>
                                                          </xdr:grpSpPr>
                                                          <xdr:cxnSp macro="">
                                                            <xdr:nvCxnSpPr>
                                                              <xdr:cNvPr id="410" name="직선 화살표 연결선 246">
                                                                <a:extLst>
                                                                  <a:ext uri="{FF2B5EF4-FFF2-40B4-BE49-F238E27FC236}">
                                                                    <a16:creationId xmlns:a16="http://schemas.microsoft.com/office/drawing/2014/main" id="{51F38A06-EDA3-4596-A67F-D85DD862C639}"/>
                                                                  </a:ext>
                                                                </a:extLst>
                                                              </xdr:cNvPr>
                                                              <xdr:cNvCxnSpPr/>
                                                            </xdr:nvCxnSpPr>
                                                            <xdr:spPr>
                                                              <a:xfrm>
                                                                <a:off x="9764640" y="7780748"/>
                                                                <a:ext cx="359569" cy="0"/>
                                                              </a:xfrm>
                                                              <a:prstGeom prst="straightConnector1">
                                                                <a:avLst/>
                                                              </a:prstGeom>
                                                              <a:ln w="19050">
                                                                <a:solidFill>
                                                                  <a:srgbClr val="FF0000"/>
                                                                </a:solidFill>
                                                                <a:tailEnd type="stealth" w="lg" len="lg"/>
                                                              </a:ln>
                                                            </xdr:spPr>
                                                            <xdr:style>
                                                              <a:lnRef idx="1">
                                                                <a:schemeClr val="accent1"/>
                                                              </a:lnRef>
                                                              <a:fillRef idx="0">
                                                                <a:schemeClr val="accent1"/>
                                                              </a:fillRef>
                                                              <a:effectRef idx="0">
                                                                <a:schemeClr val="accent1"/>
                                                              </a:effectRef>
                                                              <a:fontRef idx="minor">
                                                                <a:schemeClr val="tx1"/>
                                                              </a:fontRef>
                                                            </xdr:style>
                                                          </xdr:cxnSp>
                                                          <xdr:sp macro="" textlink="">
                                                            <xdr:nvSpPr>
                                                              <xdr:cNvPr id="411" name="TextBox 410">
                                                                <a:extLst>
                                                                  <a:ext uri="{FF2B5EF4-FFF2-40B4-BE49-F238E27FC236}">
                                                                    <a16:creationId xmlns:a16="http://schemas.microsoft.com/office/drawing/2014/main" id="{74F81EE7-0EBC-4A2C-8385-E2C6D3099131}"/>
                                                                  </a:ext>
                                                                </a:extLst>
                                                              </xdr:cNvPr>
                                                              <xdr:cNvSpPr txBox="1"/>
                                                            </xdr:nvSpPr>
                                                            <xdr:spPr>
                                                              <a:xfrm>
                                                                <a:off x="9725640" y="7649207"/>
                                                                <a:ext cx="343126" cy="147716"/>
                                                              </a:xfrm>
                                                              <a:prstGeom prst="rect">
                                                                <a:avLst/>
                                                              </a:prstGeom>
                                                              <a:noFill/>
                                                              <a:ln w="9525" cmpd="sng">
                                                                <a:noFill/>
                                                              </a:ln>
                                                            </xdr:spPr>
                                                            <xdr:style>
                                                              <a:lnRef idx="0">
                                                                <a:scrgbClr r="0" g="0" b="0"/>
                                                              </a:lnRef>
                                                              <a:fillRef idx="0">
                                                                <a:scrgbClr r="0" g="0" b="0"/>
                                                              </a:fillRef>
                                                              <a:effectRef idx="0">
                                                                <a:scrgbClr r="0" g="0" b="0"/>
                                                              </a:effectRef>
                                                              <a:fontRef idx="minor">
                                                                <a:schemeClr val="dk1"/>
                                                              </a:fontRef>
                                                            </xdr:style>
                                                            <xdr:txBody>
                                                              <a:bodyPr vertOverflow="clip" horzOverflow="clip" wrap="square" rtlCol="0" anchor="ctr"/>
                                                              <a:lstStyle/>
                                                              <a:p>
                                                                <a:r>
                                                                  <a:rPr lang="en-US" sz="900"/>
                                                                  <a:t>P</a:t>
                                                                </a:r>
                                                                <a:r>
                                                                  <a:rPr lang="en-US" sz="600"/>
                                                                  <a:t>wb</a:t>
                                                                </a:r>
                                                              </a:p>
                                                            </xdr:txBody>
                                                          </xdr:sp>
                                                        </xdr:grpSp>
                                                      </xdr:grpSp>
                                                      <xdr:sp macro="" textlink="">
                                                        <xdr:nvSpPr>
                                                          <xdr:cNvPr id="406" name="TextBox 405">
                                                            <a:extLst>
                                                              <a:ext uri="{FF2B5EF4-FFF2-40B4-BE49-F238E27FC236}">
                                                                <a16:creationId xmlns:a16="http://schemas.microsoft.com/office/drawing/2014/main" id="{1757A7E9-0165-427B-AC08-ECCD065040D3}"/>
                                                              </a:ext>
                                                            </a:extLst>
                                                          </xdr:cNvPr>
                                                          <xdr:cNvSpPr txBox="1"/>
                                                        </xdr:nvSpPr>
                                                        <xdr:spPr>
                                                          <a:xfrm>
                                                            <a:off x="9185265" y="8140479"/>
                                                            <a:ext cx="325557" cy="132074"/>
                                                          </a:xfrm>
                                                          <a:prstGeom prst="rect">
                                                            <a:avLst/>
                                                          </a:prstGeom>
                                                          <a:noFill/>
                                                          <a:ln w="9525" cmpd="sng">
                                                            <a:noFill/>
                                                          </a:ln>
                                                        </xdr:spPr>
                                                        <xdr:style>
                                                          <a:lnRef idx="0">
                                                            <a:scrgbClr r="0" g="0" b="0"/>
                                                          </a:lnRef>
                                                          <a:fillRef idx="0">
                                                            <a:scrgbClr r="0" g="0" b="0"/>
                                                          </a:fillRef>
                                                          <a:effectRef idx="0">
                                                            <a:scrgbClr r="0" g="0" b="0"/>
                                                          </a:effectRef>
                                                          <a:fontRef idx="minor">
                                                            <a:schemeClr val="dk1"/>
                                                          </a:fontRef>
                                                        </xdr:style>
                                                        <xdr:txBody>
                                                          <a:bodyPr vertOverflow="clip" horzOverflow="clip" wrap="square" rtlCol="0" anchor="ctr"/>
                                                          <a:lstStyle/>
                                                          <a:p>
                                                            <a:r>
                                                              <a:rPr lang="en-US" sz="900"/>
                                                              <a:t>P</a:t>
                                                            </a:r>
                                                            <a:r>
                                                              <a:rPr lang="en-US" sz="600"/>
                                                              <a:t>rb</a:t>
                                                            </a:r>
                                                          </a:p>
                                                        </xdr:txBody>
                                                      </xdr:sp>
                                                    </xdr:grpSp>
                                                    <xdr:cxnSp macro="">
                                                      <xdr:nvCxnSpPr>
                                                        <xdr:cNvPr id="403" name="직선 연결선 238">
                                                          <a:extLst>
                                                            <a:ext uri="{FF2B5EF4-FFF2-40B4-BE49-F238E27FC236}">
                                                              <a16:creationId xmlns:a16="http://schemas.microsoft.com/office/drawing/2014/main" id="{43180C20-95A1-4EA8-B977-E53A44C34340}"/>
                                                            </a:ext>
                                                          </a:extLst>
                                                        </xdr:cNvPr>
                                                        <xdr:cNvCxnSpPr/>
                                                      </xdr:nvCxnSpPr>
                                                      <xdr:spPr>
                                                        <a:xfrm>
                                                          <a:off x="7043145" y="10325102"/>
                                                          <a:ext cx="2107998" cy="0"/>
                                                        </a:xfrm>
                                                        <a:prstGeom prst="line">
                                                          <a:avLst/>
                                                        </a:prstGeom>
                                                        <a:ln>
                                                          <a:solidFill>
                                                            <a:srgbClr val="FF0000"/>
                                                          </a:solidFill>
                                                          <a:prstDash val="sysDash"/>
                                                        </a:ln>
                                                      </xdr:spPr>
                                                      <xdr:style>
                                                        <a:lnRef idx="1">
                                                          <a:schemeClr val="accent1"/>
                                                        </a:lnRef>
                                                        <a:fillRef idx="0">
                                                          <a:schemeClr val="accent1"/>
                                                        </a:fillRef>
                                                        <a:effectRef idx="0">
                                                          <a:schemeClr val="accent1"/>
                                                        </a:effectRef>
                                                        <a:fontRef idx="minor">
                                                          <a:schemeClr val="tx1"/>
                                                        </a:fontRef>
                                                      </xdr:style>
                                                    </xdr:cxnSp>
                                                    <xdr:cxnSp macro="">
                                                      <xdr:nvCxnSpPr>
                                                        <xdr:cNvPr id="404" name="직선 연결선 239">
                                                          <a:extLst>
                                                            <a:ext uri="{FF2B5EF4-FFF2-40B4-BE49-F238E27FC236}">
                                                              <a16:creationId xmlns:a16="http://schemas.microsoft.com/office/drawing/2014/main" id="{5D844E37-E2C9-4E66-8FD5-E041D188C72D}"/>
                                                            </a:ext>
                                                          </a:extLst>
                                                        </xdr:cNvPr>
                                                        <xdr:cNvCxnSpPr/>
                                                      </xdr:nvCxnSpPr>
                                                      <xdr:spPr>
                                                        <a:xfrm>
                                                          <a:off x="7043145" y="10422729"/>
                                                          <a:ext cx="2105619" cy="0"/>
                                                        </a:xfrm>
                                                        <a:prstGeom prst="line">
                                                          <a:avLst/>
                                                        </a:prstGeom>
                                                        <a:ln>
                                                          <a:solidFill>
                                                            <a:srgbClr val="FF0000"/>
                                                          </a:solidFill>
                                                          <a:prstDash val="sysDash"/>
                                                        </a:ln>
                                                      </xdr:spPr>
                                                      <xdr:style>
                                                        <a:lnRef idx="1">
                                                          <a:schemeClr val="accent1"/>
                                                        </a:lnRef>
                                                        <a:fillRef idx="0">
                                                          <a:schemeClr val="accent1"/>
                                                        </a:fillRef>
                                                        <a:effectRef idx="0">
                                                          <a:schemeClr val="accent1"/>
                                                        </a:effectRef>
                                                        <a:fontRef idx="minor">
                                                          <a:schemeClr val="tx1"/>
                                                        </a:fontRef>
                                                      </xdr:style>
                                                    </xdr:cxnSp>
                                                  </xdr:grpSp>
                                                  <xdr:cxnSp macro="">
                                                    <xdr:nvCxnSpPr>
                                                      <xdr:cNvPr id="393" name="직선 화살표 연결선 229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7CC23D17-177B-4D0F-9CD9-702216A2AA59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9957572" y="10632532"/>
                                                        <a:ext cx="353941" cy="0"/>
                                                      </a:xfrm>
                                                      <a:prstGeom prst="straightConnector1">
                                                        <a:avLst/>
                                                      </a:prstGeom>
                                                      <a:ln w="19050">
                                                        <a:solidFill>
                                                          <a:srgbClr val="FF0000"/>
                                                        </a:solidFill>
                                                        <a:tailEnd type="stealth" w="lg" len="lg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sp macro="" textlink="">
                                                    <xdr:nvSpPr>
                                                      <xdr:cNvPr id="394" name="TextBox 393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AFBD6E3D-E690-4257-8539-BD9D1E4F917E}"/>
                                                          </a:ext>
                                                        </a:extLst>
                                                      </xdr:cNvPr>
                                                      <xdr:cNvSpPr txBox="1"/>
                                                    </xdr:nvSpPr>
                                                    <xdr:spPr>
                                                      <a:xfrm>
                                                        <a:off x="10064424" y="10160794"/>
                                                        <a:ext cx="406277" cy="176464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9525" cmpd="sng">
                                                        <a:noFill/>
                                                      </a:ln>
                                                    </xdr:spPr>
                                                    <xdr:style>
                                                      <a:lnRef idx="0">
                                                        <a:scrgbClr r="0" g="0" b="0"/>
                                                      </a:lnRef>
                                                      <a:fillRef idx="0">
                                                        <a:scrgbClr r="0" g="0" b="0"/>
                                                      </a:fillRef>
                                                      <a:effectRef idx="0">
                                                        <a:scrgbClr r="0" g="0" b="0"/>
                                                      </a:effectRef>
                                                      <a:fontRef idx="minor">
                                                        <a:schemeClr val="dk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wrap="square" rtlCol="0" anchor="ctr"/>
                                                      <a:lstStyle/>
                                                      <a:p>
                                                        <a:r>
                                                          <a:rPr lang="en-US" sz="900"/>
                                                          <a:t>P</a:t>
                                                        </a:r>
                                                        <a:r>
                                                          <a:rPr lang="en-US" sz="600"/>
                                                          <a:t>rt</a:t>
                                                        </a:r>
                                                      </a:p>
                                                    </xdr:txBody>
                                                  </xdr:sp>
                                                  <xdr:cxnSp macro="">
                                                    <xdr:nvCxnSpPr>
                                                      <xdr:cNvPr id="395" name="직선 화살표 연결선 231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9BCA6FEA-FA20-43D5-B0FA-351CCD420634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9957572" y="10496801"/>
                                                        <a:ext cx="353941" cy="0"/>
                                                      </a:xfrm>
                                                      <a:prstGeom prst="straightConnector1">
                                                        <a:avLst/>
                                                      </a:prstGeom>
                                                      <a:ln w="19050">
                                                        <a:solidFill>
                                                          <a:srgbClr val="FF0000"/>
                                                        </a:solidFill>
                                                        <a:tailEnd type="stealth" w="lg" len="lg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sp macro="" textlink="">
                                                    <xdr:nvSpPr>
                                                      <xdr:cNvPr id="396" name="TextBox 395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F0768477-1B16-434F-8854-C6FFA025387F}"/>
                                                          </a:ext>
                                                        </a:extLst>
                                                      </xdr:cNvPr>
                                                      <xdr:cNvSpPr txBox="1"/>
                                                    </xdr:nvSpPr>
                                                    <xdr:spPr>
                                                      <a:xfrm>
                                                        <a:off x="10046594" y="10643818"/>
                                                        <a:ext cx="359525" cy="195520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9525" cmpd="sng">
                                                        <a:noFill/>
                                                      </a:ln>
                                                    </xdr:spPr>
                                                    <xdr:style>
                                                      <a:lnRef idx="0">
                                                        <a:scrgbClr r="0" g="0" b="0"/>
                                                      </a:lnRef>
                                                      <a:fillRef idx="0">
                                                        <a:scrgbClr r="0" g="0" b="0"/>
                                                      </a:fillRef>
                                                      <a:effectRef idx="0">
                                                        <a:scrgbClr r="0" g="0" b="0"/>
                                                      </a:effectRef>
                                                      <a:fontRef idx="minor">
                                                        <a:schemeClr val="dk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wrap="square" rtlCol="0" anchor="ctr"/>
                                                      <a:lstStyle/>
                                                      <a:p>
                                                        <a:r>
                                                          <a:rPr lang="en-US" sz="900"/>
                                                          <a:t>P</a:t>
                                                        </a:r>
                                                        <a:r>
                                                          <a:rPr lang="en-US" sz="600"/>
                                                          <a:t>wt</a:t>
                                                        </a:r>
                                                      </a:p>
                                                    </xdr:txBody>
                                                  </xdr:sp>
                                                  <xdr:sp macro="" textlink="">
                                                    <xdr:nvSpPr>
                                                      <xdr:cNvPr id="397" name="TextBox 396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B15BC3A3-FF07-470C-8E83-BBF4B4CF0EEC}"/>
                                                          </a:ext>
                                                        </a:extLst>
                                                      </xdr:cNvPr>
                                                      <xdr:cNvSpPr txBox="1"/>
                                                    </xdr:nvSpPr>
                                                    <xdr:spPr>
                                                      <a:xfrm>
                                                        <a:off x="9757802" y="10436179"/>
                                                        <a:ext cx="314421" cy="145256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9525" cmpd="sng">
                                                        <a:noFill/>
                                                      </a:ln>
                                                    </xdr:spPr>
                                                    <xdr:style>
                                                      <a:lnRef idx="0">
                                                        <a:scrgbClr r="0" g="0" b="0"/>
                                                      </a:lnRef>
                                                      <a:fillRef idx="0">
                                                        <a:scrgbClr r="0" g="0" b="0"/>
                                                      </a:fillRef>
                                                      <a:effectRef idx="0">
                                                        <a:scrgbClr r="0" g="0" b="0"/>
                                                      </a:effectRef>
                                                      <a:fontRef idx="minor">
                                                        <a:schemeClr val="dk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wrap="square" rtlCol="0" anchor="ctr"/>
                                                      <a:lstStyle/>
                                                      <a:p>
                                                        <a:r>
                                                          <a:rPr lang="en-US" sz="900"/>
                                                          <a:t>P</a:t>
                                                        </a:r>
                                                        <a:r>
                                                          <a:rPr lang="en-US" sz="600"/>
                                                          <a:t>c</a:t>
                                                        </a:r>
                                                      </a:p>
                                                    </xdr:txBody>
                                                  </xdr:sp>
                                                  <xdr:cxnSp macro="">
                                                    <xdr:nvCxnSpPr>
                                                      <xdr:cNvPr id="398" name="직선 화살표 연결선 234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0289999B-0F8C-4C5A-8ACA-FBA7B0500C65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9955191" y="10418220"/>
                                                        <a:ext cx="353941" cy="0"/>
                                                      </a:xfrm>
                                                      <a:prstGeom prst="straightConnector1">
                                                        <a:avLst/>
                                                      </a:prstGeom>
                                                      <a:ln w="19050">
                                                        <a:solidFill>
                                                          <a:srgbClr val="FF0000"/>
                                                        </a:solidFill>
                                                        <a:tailEnd type="stealth" w="lg" len="lg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cxnSp macro="">
                                                    <xdr:nvCxnSpPr>
                                                      <xdr:cNvPr id="399" name="직선 화살표 연결선 235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6B5631F9-60B4-4FE0-A402-D3C2E178050B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9950429" y="10318208"/>
                                                        <a:ext cx="353941" cy="0"/>
                                                      </a:xfrm>
                                                      <a:prstGeom prst="straightConnector1">
                                                        <a:avLst/>
                                                      </a:prstGeom>
                                                      <a:ln w="19050">
                                                        <a:solidFill>
                                                          <a:srgbClr val="FF0000"/>
                                                        </a:solidFill>
                                                        <a:tailEnd type="stealth" w="lg" len="lg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cxnSp macro="">
                                                    <xdr:nvCxnSpPr>
                                                      <xdr:cNvPr id="400" name="직선 화살표 연결선 236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9991A0DB-05AA-49C6-979D-3DBE3670126B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10328488" y="10361070"/>
                                                        <a:ext cx="353941" cy="0"/>
                                                      </a:xfrm>
                                                      <a:prstGeom prst="straightConnector1">
                                                        <a:avLst/>
                                                      </a:prstGeom>
                                                      <a:ln w="19050">
                                                        <a:solidFill>
                                                          <a:srgbClr val="FF0000"/>
                                                        </a:solidFill>
                                                        <a:tailEnd type="stealth" w="lg" len="lg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</xdr:grpSp>
                                              </xdr:grpSp>
                                              <xdr:sp macro="" textlink="">
                                                <xdr:nvSpPr>
                                                  <xdr:cNvPr id="387" name="덧셈 기호 223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8DF7A57E-DA88-4C29-95F6-F55A96CF17CF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9281217" y="11090097"/>
                                                    <a:ext cx="161974" cy="154237"/>
                                                  </a:xfrm>
                                                  <a:prstGeom prst="mathPlus">
                                                    <a:avLst/>
                                                  </a:prstGeom>
                                                  <a:ln w="63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  <xdr:sp macro="" textlink="">
                                                <xdr:nvSpPr>
                                                  <xdr:cNvPr id="388" name="뺄셈 기호 224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D8EA18D4-BD75-42B2-B89B-E8CBA58F2E43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9605165" y="10470585"/>
                                                    <a:ext cx="136637" cy="75970"/>
                                                  </a:xfrm>
                                                  <a:prstGeom prst="mathMinus">
                                                    <a:avLst/>
                                                  </a:prstGeom>
                                                  <a:ln w="63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374" name="그룹 205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6B48B30D-71A0-481F-9125-D9918D413586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6365985" y="10268954"/>
                                                  <a:ext cx="782565" cy="1230121"/>
                                                  <a:chOff x="6365985" y="10268954"/>
                                                  <a:chExt cx="782565" cy="1230121"/>
                                                </a:xfrm>
                                              </xdr:grpSpPr>
                                              <xdr:grpSp>
                                                <xdr:nvGrpSpPr>
                                                  <xdr:cNvPr id="375" name="그룹 206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FD323145-76FA-4725-996A-98D12A33D4BA}"/>
                                                      </a:ext>
                                                    </a:extLst>
                                                  </xdr:cNvPr>
                                                  <xdr:cNvGrpSpPr/>
                                                </xdr:nvGrpSpPr>
                                                <xdr:grpSpPr>
                                                  <a:xfrm>
                                                    <a:off x="6365985" y="10268954"/>
                                                    <a:ext cx="618222" cy="1230121"/>
                                                    <a:chOff x="6365985" y="10268954"/>
                                                    <a:chExt cx="618222" cy="1230121"/>
                                                  </a:xfrm>
                                                </xdr:grpSpPr>
                                                <xdr:grpSp>
                                                  <xdr:nvGrpSpPr>
                                                    <xdr:cNvPr id="379" name="그룹 212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A9B38FD9-1732-47D8-85AF-FACEF0A0C567}"/>
                                                        </a:ext>
                                                      </a:extLst>
                                                    </xdr:cNvPr>
                                                    <xdr:cNvGrpSpPr/>
                                                  </xdr:nvGrpSpPr>
                                                  <xdr:grpSpPr>
                                                    <a:xfrm>
                                                      <a:off x="6398763" y="10268954"/>
                                                      <a:ext cx="583095" cy="1230121"/>
                                                      <a:chOff x="6703531" y="10268954"/>
                                                      <a:chExt cx="583095" cy="1230121"/>
                                                    </a:xfrm>
                                                  </xdr:grpSpPr>
                                                  <xdr:cxnSp macro="">
                                                    <xdr:nvCxnSpPr>
                                                      <xdr:cNvPr id="382" name="직선 연결선 216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5126FB37-AB01-4338-B557-5E83110BFDCA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6883361" y="10477400"/>
                                                        <a:ext cx="403265" cy="0"/>
                                                      </a:xfrm>
                                                      <a:prstGeom prst="line">
                                                        <a:avLst/>
                                                      </a:prstGeom>
                                                      <a:ln w="3175">
                                                        <a:tailEnd type="oval" w="sm" len="sm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cxnSp macro="">
                                                    <xdr:nvCxnSpPr>
                                                      <xdr:cNvPr id="383" name="직선 연결선 217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CF6C8F8A-32EE-4F73-9EA2-FC62A0338A8F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6886070" y="11499075"/>
                                                        <a:ext cx="313926" cy="0"/>
                                                      </a:xfrm>
                                                      <a:prstGeom prst="line">
                                                        <a:avLst/>
                                                      </a:prstGeom>
                                                      <a:ln w="3175">
                                                        <a:tailEnd type="oval" w="sm" len="sm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cxnSp macro="">
                                                    <xdr:nvCxnSpPr>
                                                      <xdr:cNvPr id="384" name="직선 연결선 218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3B5F288E-F0AE-4FF4-900A-D24D1DEB95F1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>
                                                        <a:off x="6883523" y="10268954"/>
                                                        <a:ext cx="0" cy="1202532"/>
                                                      </a:xfrm>
                                                      <a:prstGeom prst="line">
                                                        <a:avLst/>
                                                      </a:prstGeom>
                                                      <a:ln w="3175"/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sp macro="" textlink="">
                                                    <xdr:nvSpPr>
                                                      <xdr:cNvPr id="385" name="TextBox 384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79EA0FB7-82C1-44A5-9D95-159BAD059E84}"/>
                                                          </a:ext>
                                                        </a:extLst>
                                                      </xdr:cNvPr>
                                                      <xdr:cNvSpPr txBox="1"/>
                                                    </xdr:nvSpPr>
                                                    <xdr:spPr>
                                                      <a:xfrm>
                                                        <a:off x="6703531" y="10922764"/>
                                                        <a:ext cx="314792" cy="145256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9525" cmpd="sng">
                                                        <a:noFill/>
                                                      </a:ln>
                                                    </xdr:spPr>
                                                    <xdr:style>
                                                      <a:lnRef idx="0">
                                                        <a:scrgbClr r="0" g="0" b="0"/>
                                                      </a:lnRef>
                                                      <a:fillRef idx="0">
                                                        <a:scrgbClr r="0" g="0" b="0"/>
                                                      </a:fillRef>
                                                      <a:effectRef idx="0">
                                                        <a:scrgbClr r="0" g="0" b="0"/>
                                                      </a:effectRef>
                                                      <a:fontRef idx="minor">
                                                        <a:schemeClr val="dk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wrap="square" rtlCol="0" anchor="ctr"/>
                                                      <a:lstStyle/>
                                                      <a:p>
                                                        <a:r>
                                                          <a:rPr lang="en-US" sz="900"/>
                                                          <a:t>D</a:t>
                                                        </a:r>
                                                        <a:endParaRPr lang="en-US" sz="600"/>
                                                      </a:p>
                                                    </xdr:txBody>
                                                  </xdr:sp>
                                                </xdr:grpSp>
                                                <xdr:cxnSp macro="">
                                                  <xdr:nvCxnSpPr>
                                                    <xdr:cNvPr id="380" name="직선 연결선 213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9FBC0191-A4CF-4785-A5F0-6F34BB1D94DD}"/>
                                                        </a:ext>
                                                      </a:extLst>
                                                    </xdr:cNvPr>
                                                    <xdr:cNvCxnSpPr/>
                                                  </xdr:nvCxnSpPr>
                                                  <xdr:spPr>
                                                    <a:xfrm flipH="1">
                                                      <a:off x="6578594" y="10276787"/>
                                                      <a:ext cx="405613" cy="0"/>
                                                    </a:xfrm>
                                                    <a:prstGeom prst="line">
                                                      <a:avLst/>
                                                    </a:prstGeom>
                                                    <a:ln w="3175">
                                                      <a:tailEnd type="oval" w="sm" len="sm"/>
                                                    </a:ln>
                                                  </xdr:spPr>
                                                  <xdr:style>
                                                    <a:lnRef idx="1">
                                                      <a:schemeClr val="accent1"/>
                                                    </a:lnRef>
                                                    <a:fillRef idx="0">
                                                      <a:schemeClr val="accent1"/>
                                                    </a:fillRef>
                                                    <a:effectRef idx="0">
                                                      <a:schemeClr val="accent1"/>
                                                    </a:effectRef>
                                                    <a:fontRef idx="minor">
                                                      <a:schemeClr val="tx1"/>
                                                    </a:fontRef>
                                                  </xdr:style>
                                                </xdr:cxnSp>
                                                <xdr:sp macro="" textlink="">
                                                  <xdr:nvSpPr>
                                                    <xdr:cNvPr id="381" name="TextBox 380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9F25CCFD-2EC3-463D-A072-2E9765502565}"/>
                                                        </a:ext>
                                                      </a:extLst>
                                                    </xdr:cNvPr>
                                                    <xdr:cNvSpPr txBox="1"/>
                                                  </xdr:nvSpPr>
                                                  <xdr:spPr>
                                                    <a:xfrm>
                                                      <a:off x="6365985" y="10282519"/>
                                                      <a:ext cx="314792" cy="145256"/>
                                                    </a:xfrm>
                                                    <a:prstGeom prst="rect">
                                                      <a:avLst/>
                                                    </a:prstGeom>
                                                    <a:noFill/>
                                                    <a:ln w="9525" cmpd="sng">
                                                      <a:noFill/>
                                                    </a:ln>
                                                  </xdr:spPr>
                                                  <xdr:style>
                                                    <a:lnRef idx="0">
                                                      <a:scrgbClr r="0" g="0" b="0"/>
                                                    </a:lnRef>
                                                    <a:fillRef idx="0">
                                                      <a:scrgbClr r="0" g="0" b="0"/>
                                                    </a:fillRef>
                                                    <a:effectRef idx="0">
                                                      <a:scrgbClr r="0" g="0" b="0"/>
                                                    </a:effectRef>
                                                    <a:fontRef idx="minor">
                                                      <a:schemeClr val="dk1"/>
                                                    </a:fontRef>
                                                  </xdr:style>
                                                  <xdr:txBody>
                                                    <a:bodyPr vertOverflow="clip" horzOverflow="clip" wrap="square" rtlCol="0" anchor="ctr"/>
                                                    <a:lstStyle/>
                                                    <a:p>
                                                      <a:r>
                                                        <a:rPr lang="en-US" sz="900"/>
                                                        <a:t>t</a:t>
                                                      </a:r>
                                                      <a:r>
                                                        <a:rPr lang="en-US" sz="600"/>
                                                        <a:t>s</a:t>
                                                      </a:r>
                                                    </a:p>
                                                  </xdr:txBody>
                                                </xdr:sp>
                                              </xdr:grpSp>
                                              <xdr:cxnSp macro="">
                                                <xdr:nvCxnSpPr>
                                                  <xdr:cNvPr id="376" name="직선 연결선 207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231537F3-5339-4FED-B2EA-58409994A83B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 flipH="1">
                                                    <a:off x="6888994" y="11268075"/>
                                                    <a:ext cx="259556" cy="0"/>
                                                  </a:xfrm>
                                                  <a:prstGeom prst="line">
                                                    <a:avLst/>
                                                  </a:prstGeom>
                                                  <a:ln w="3175">
                                                    <a:tailEnd type="oval" w="sm" len="sm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cxnSp macro="">
                                                <xdr:nvCxnSpPr>
                                                  <xdr:cNvPr id="377" name="직선 연결선 208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BD79A0DA-5E06-4DFC-857D-321F5C91189F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>
                                                    <a:off x="6893719" y="11275219"/>
                                                    <a:ext cx="0" cy="207169"/>
                                                  </a:xfrm>
                                                  <a:prstGeom prst="line">
                                                    <a:avLst/>
                                                  </a:prstGeom>
                                                  <a:ln w="3175"/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378" name="TextBox 377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286D17C7-3C99-490A-8308-C5C72E748D90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6677430" y="11302439"/>
                                                    <a:ext cx="310271" cy="146746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H</a:t>
                                                    </a:r>
                                                    <a:r>
                                                      <a:rPr lang="en-US" sz="700"/>
                                                      <a:t>c</a:t>
                                                    </a:r>
                                                    <a:endParaRPr lang="en-US" sz="600"/>
                                                  </a:p>
                                                </xdr:txBody>
                                              </xdr:sp>
                                            </xdr:grpSp>
                                          </xdr:grpSp>
                                        </xdr:grpSp>
                                      </xdr:grpSp>
                                      <xdr:cxnSp macro="">
                                        <xdr:nvCxnSpPr>
                                          <xdr:cNvPr id="368" name="직선 연결선 207">
                                            <a:extLst>
                                              <a:ext uri="{FF2B5EF4-FFF2-40B4-BE49-F238E27FC236}">
                                                <a16:creationId xmlns:a16="http://schemas.microsoft.com/office/drawing/2014/main" id="{49BFCED3-F4AB-457B-9A46-6C7FBF771CAE}"/>
                                              </a:ext>
                                            </a:extLst>
                                          </xdr:cNvPr>
                                          <xdr:cNvCxnSpPr/>
                                        </xdr:nvCxnSpPr>
                                        <xdr:spPr>
                                          <a:xfrm flipH="1">
                                            <a:off x="407193" y="8686837"/>
                                            <a:ext cx="259365" cy="0"/>
                                          </a:xfrm>
                                          <a:prstGeom prst="line">
                                            <a:avLst/>
                                          </a:prstGeom>
                                          <a:ln w="3175">
                                            <a:tailEnd type="oval" w="sm" len="sm"/>
                                          </a:ln>
                                        </xdr:spPr>
                                        <xdr:style>
                                          <a:lnRef idx="1">
                                            <a:schemeClr val="accent1"/>
                                          </a:lnRef>
                                          <a:fillRef idx="0">
                                            <a:schemeClr val="accent1"/>
                                          </a:fillRef>
                                          <a:effectRef idx="0">
                                            <a:schemeClr val="accent1"/>
                                          </a:effectRef>
                                          <a:fontRef idx="minor">
                                            <a:schemeClr val="tx1"/>
                                          </a:fontRef>
                                        </xdr:style>
                                      </xdr:cxnSp>
                                    </xdr:grpSp>
                                    <xdr:cxnSp macro="">
                                      <xdr:nvCxnSpPr>
                                        <xdr:cNvPr id="365" name="직선 화살표 연결선 244">
                                          <a:extLst>
                                            <a:ext uri="{FF2B5EF4-FFF2-40B4-BE49-F238E27FC236}">
                                              <a16:creationId xmlns:a16="http://schemas.microsoft.com/office/drawing/2014/main" id="{C7FDBAFA-47F6-4CFA-B8EF-C6E95B29E1D0}"/>
                                            </a:ext>
                                          </a:extLst>
                                        </xdr:cNvPr>
                                        <xdr:cNvCxnSpPr/>
                                      </xdr:nvCxnSpPr>
                                      <xdr:spPr>
                                        <a:xfrm>
                                          <a:off x="3878642" y="6166263"/>
                                          <a:ext cx="377042" cy="0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19050">
                                          <a:solidFill>
                                            <a:srgbClr val="FF0000"/>
                                          </a:solidFill>
                                          <a:tailEnd type="stealth" w="lg" len="lg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sp macro="" textlink="">
                                      <xdr:nvSpPr>
                                        <xdr:cNvPr id="366" name="TextBox 365">
                                          <a:extLst>
                                            <a:ext uri="{FF2B5EF4-FFF2-40B4-BE49-F238E27FC236}">
                                              <a16:creationId xmlns:a16="http://schemas.microsoft.com/office/drawing/2014/main" id="{338E6E29-9E80-4EE0-844A-B2E4500E8250}"/>
                                            </a:ext>
                                          </a:extLst>
                                        </xdr:cNvPr>
                                        <xdr:cNvSpPr txBox="1"/>
                                      </xdr:nvSpPr>
                                      <xdr:spPr>
                                        <a:xfrm>
                                          <a:off x="3824287" y="5998368"/>
                                          <a:ext cx="461360" cy="164764"/>
                                        </a:xfrm>
                                        <a:prstGeom prst="rect">
                                          <a:avLst/>
                                        </a:prstGeom>
                                        <a:noFill/>
                                        <a:ln w="9525" cmpd="sng">
                                          <a:noFill/>
                                        </a:ln>
                                      </xdr:spPr>
                                      <xdr:style>
                                        <a:lnRef idx="0">
                                          <a:scrgbClr r="0" g="0" b="0"/>
                                        </a:lnRef>
                                        <a:fillRef idx="0">
                                          <a:scrgbClr r="0" g="0" b="0"/>
                                        </a:fillRef>
                                        <a:effectRef idx="0">
                                          <a:scrgbClr r="0" g="0" b="0"/>
                                        </a:effectRef>
                                        <a:fontRef idx="minor">
                                          <a:schemeClr val="dk1"/>
                                        </a:fontRef>
                                      </xdr:style>
                                      <xdr:txBody>
                                        <a:bodyPr vertOverflow="clip" horzOverflow="clip" wrap="square" rtlCol="0" anchor="ctr"/>
                                        <a:lstStyle/>
                                        <a:p>
                                          <a:r>
                                            <a:rPr lang="en-US" sz="900"/>
                                            <a:t>P</a:t>
                                          </a:r>
                                          <a:r>
                                            <a:rPr lang="en-US" sz="600"/>
                                            <a:t>sb</a:t>
                                          </a:r>
                                        </a:p>
                                      </xdr:txBody>
                                    </xdr:sp>
                                  </xdr:grpSp>
                                  <xdr:cxnSp macro="">
                                    <xdr:nvCxnSpPr>
                                      <xdr:cNvPr id="362" name="직선 화살표 연결선 231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297C55E7-CDE4-4C4C-8FF7-AF709BA1E250}"/>
                                          </a:ext>
                                        </a:extLst>
                                      </xdr:cNvPr>
                                      <xdr:cNvCxnSpPr/>
                                    </xdr:nvCxnSpPr>
                                    <xdr:spPr>
                                      <a:xfrm flipH="1">
                                        <a:off x="3876675" y="5283994"/>
                                        <a:ext cx="354098" cy="0"/>
                                      </a:xfrm>
                                      <a:prstGeom prst="straightConnector1">
                                        <a:avLst/>
                                      </a:prstGeom>
                                      <a:ln w="19050">
                                        <a:solidFill>
                                          <a:srgbClr val="FF0000"/>
                                        </a:solidFill>
                                        <a:tailEnd type="stealth" w="lg" len="lg"/>
                                      </a:ln>
                                    </xdr:spPr>
                                    <xdr:style>
                                      <a:lnRef idx="1">
                                        <a:schemeClr val="accent1"/>
                                      </a:lnRef>
                                      <a:fillRef idx="0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tx1"/>
                                      </a:fontRef>
                                    </xdr:style>
                                  </xdr:cxnSp>
                                  <xdr:sp macro="" textlink="">
                                    <xdr:nvSpPr>
                                      <xdr:cNvPr id="363" name="TextBox 362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41290071-8B6B-46CA-94C0-BE070F66828B}"/>
                                          </a:ext>
                                        </a:extLst>
                                      </xdr:cNvPr>
                                      <xdr:cNvSpPr txBox="1"/>
                                    </xdr:nvSpPr>
                                    <xdr:spPr>
                                      <a:xfrm>
                                        <a:off x="3902869" y="5319712"/>
                                        <a:ext cx="447410" cy="145405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 w="9525" cmpd="sng">
                                        <a:noFill/>
                                      </a:ln>
                                    </xdr:spPr>
                                    <xdr:style>
                                      <a:lnRef idx="0">
                                        <a:scrgbClr r="0" g="0" b="0"/>
                                      </a:lnRef>
                                      <a:fillRef idx="0">
                                        <a:scrgbClr r="0" g="0" b="0"/>
                                      </a:fillRef>
                                      <a:effectRef idx="0">
                                        <a:scrgbClr r="0" g="0" b="0"/>
                                      </a:effectRef>
                                      <a:fontRef idx="minor">
                                        <a:schemeClr val="dk1"/>
                                      </a:fontRef>
                                    </xdr:style>
                                    <xdr:txBody>
                                      <a:bodyPr vertOverflow="clip" horzOverflow="clip" wrap="square" rtlCol="0" anchor="ctr"/>
                                      <a:lstStyle/>
                                      <a:p>
                                        <a:r>
                                          <a:rPr lang="en-US" sz="900"/>
                                          <a:t>P</a:t>
                                        </a:r>
                                        <a:r>
                                          <a:rPr lang="en-US" sz="600" baseline="0"/>
                                          <a:t>st</a:t>
                                        </a:r>
                                      </a:p>
                                    </xdr:txBody>
                                  </xdr:sp>
                                </xdr:grpSp>
                                <xdr:cxnSp macro="">
                                  <xdr:nvCxnSpPr>
                                    <xdr:cNvPr id="358" name="직선 연결선 207">
                                      <a:extLst>
                                        <a:ext uri="{FF2B5EF4-FFF2-40B4-BE49-F238E27FC236}">
                                          <a16:creationId xmlns:a16="http://schemas.microsoft.com/office/drawing/2014/main" id="{5F793A61-0F2E-45E1-9BA8-82B25894911A}"/>
                                        </a:ext>
                                      </a:extLst>
                                    </xdr:cNvPr>
                                    <xdr:cNvCxnSpPr/>
                                  </xdr:nvCxnSpPr>
                                  <xdr:spPr>
                                    <a:xfrm flipH="1">
                                      <a:off x="571501" y="5288756"/>
                                      <a:ext cx="259347" cy="0"/>
                                    </a:xfrm>
                                    <a:prstGeom prst="line">
                                      <a:avLst/>
                                    </a:prstGeom>
                                    <a:ln w="3175">
                                      <a:tailEnd type="oval" w="sm" len="sm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359" name="직선 연결선 207">
                                      <a:extLst>
                                        <a:ext uri="{FF2B5EF4-FFF2-40B4-BE49-F238E27FC236}">
                                          <a16:creationId xmlns:a16="http://schemas.microsoft.com/office/drawing/2014/main" id="{2CE80805-2357-40A0-A1F3-B66751F80C50}"/>
                                        </a:ext>
                                      </a:extLst>
                                    </xdr:cNvPr>
                                    <xdr:cNvCxnSpPr/>
                                  </xdr:nvCxnSpPr>
                                  <xdr:spPr>
                                    <a:xfrm flipH="1">
                                      <a:off x="571499" y="5226844"/>
                                      <a:ext cx="259365" cy="0"/>
                                    </a:xfrm>
                                    <a:prstGeom prst="line">
                                      <a:avLst/>
                                    </a:prstGeom>
                                    <a:ln w="3175">
                                      <a:tailEnd type="oval" w="sm" len="sm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360" name="직선 연결선 208">
                                      <a:extLst>
                                        <a:ext uri="{FF2B5EF4-FFF2-40B4-BE49-F238E27FC236}">
                                          <a16:creationId xmlns:a16="http://schemas.microsoft.com/office/drawing/2014/main" id="{6314C7FA-C5C3-475D-93A4-1BE8751634D8}"/>
                                        </a:ext>
                                      </a:extLst>
                                    </xdr:cNvPr>
                                    <xdr:cNvCxnSpPr/>
                                  </xdr:nvCxnSpPr>
                                  <xdr:spPr>
                                    <a:xfrm>
                                      <a:off x="571500" y="5217319"/>
                                      <a:ext cx="0" cy="201074"/>
                                    </a:xfrm>
                                    <a:prstGeom prst="line">
                                      <a:avLst/>
                                    </a:prstGeom>
                                    <a:ln w="3175"/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</xdr:grpSp>
                              <xdr:cxnSp macro="">
                                <xdr:nvCxnSpPr>
                                  <xdr:cNvPr id="354" name="직선 연결선 207">
                                    <a:extLst>
                                      <a:ext uri="{FF2B5EF4-FFF2-40B4-BE49-F238E27FC236}">
                                        <a16:creationId xmlns:a16="http://schemas.microsoft.com/office/drawing/2014/main" id="{1D3D4D51-E6D8-48B9-858F-744DA6222618}"/>
                                      </a:ext>
                                    </a:extLst>
                                  </xdr:cNvPr>
                                  <xdr:cNvCxnSpPr/>
                                </xdr:nvCxnSpPr>
                                <xdr:spPr>
                                  <a:xfrm flipH="1">
                                    <a:off x="673897" y="6105521"/>
                                    <a:ext cx="145253" cy="0"/>
                                  </a:xfrm>
                                  <a:prstGeom prst="line">
                                    <a:avLst/>
                                  </a:prstGeom>
                                  <a:ln w="3175">
                                    <a:tailEnd type="oval" w="sm" len="sm"/>
                                  </a:ln>
                                </xdr:spPr>
                                <xdr:style>
                                  <a:lnRef idx="1">
                                    <a:schemeClr val="accent1"/>
                                  </a:lnRef>
                                  <a:fillRef idx="0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tx1"/>
                                  </a:fontRef>
                                </xdr:style>
                              </xdr:cxnSp>
                              <xdr:cxnSp macro="">
                                <xdr:nvCxnSpPr>
                                  <xdr:cNvPr id="355" name="직선 연결선 208">
                                    <a:extLst>
                                      <a:ext uri="{FF2B5EF4-FFF2-40B4-BE49-F238E27FC236}">
                                        <a16:creationId xmlns:a16="http://schemas.microsoft.com/office/drawing/2014/main" id="{CC5E077B-CF6F-47CF-8132-0365147D8E1A}"/>
                                      </a:ext>
                                    </a:extLst>
                                  </xdr:cNvPr>
                                  <xdr:cNvCxnSpPr/>
                                </xdr:nvCxnSpPr>
                                <xdr:spPr>
                                  <a:xfrm>
                                    <a:off x="673894" y="6079331"/>
                                    <a:ext cx="0" cy="227292"/>
                                  </a:xfrm>
                                  <a:prstGeom prst="line">
                                    <a:avLst/>
                                  </a:prstGeom>
                                  <a:ln w="3175"/>
                                </xdr:spPr>
                                <xdr:style>
                                  <a:lnRef idx="1">
                                    <a:schemeClr val="accent1"/>
                                  </a:lnRef>
                                  <a:fillRef idx="0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tx1"/>
                                  </a:fontRef>
                                </xdr:style>
                              </xdr:cxnSp>
                              <xdr:cxnSp macro="">
                                <xdr:nvCxnSpPr>
                                  <xdr:cNvPr id="356" name="직선 연결선 207">
                                    <a:extLst>
                                      <a:ext uri="{FF2B5EF4-FFF2-40B4-BE49-F238E27FC236}">
                                        <a16:creationId xmlns:a16="http://schemas.microsoft.com/office/drawing/2014/main" id="{14CC4577-800D-4D5E-B9A3-1BF34B91D324}"/>
                                      </a:ext>
                                    </a:extLst>
                                  </xdr:cNvPr>
                                  <xdr:cNvCxnSpPr/>
                                </xdr:nvCxnSpPr>
                                <xdr:spPr>
                                  <a:xfrm flipH="1">
                                    <a:off x="673894" y="6172199"/>
                                    <a:ext cx="610143" cy="0"/>
                                  </a:xfrm>
                                  <a:prstGeom prst="line">
                                    <a:avLst/>
                                  </a:prstGeom>
                                  <a:ln w="3175">
                                    <a:tailEnd type="oval" w="sm" len="sm"/>
                                  </a:ln>
                                </xdr:spPr>
                                <xdr:style>
                                  <a:lnRef idx="1">
                                    <a:schemeClr val="accent1"/>
                                  </a:lnRef>
                                  <a:fillRef idx="0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tx1"/>
                                  </a:fontRef>
                                </xdr:style>
                              </xdr:cxnSp>
                            </xdr:grpSp>
                            <xdr:sp macro="" textlink="">
                              <xdr:nvSpPr>
                                <xdr:cNvPr id="352" name="TextBox 351">
                                  <a:extLst>
                                    <a:ext uri="{FF2B5EF4-FFF2-40B4-BE49-F238E27FC236}">
                                      <a16:creationId xmlns:a16="http://schemas.microsoft.com/office/drawing/2014/main" id="{52B7C58E-E279-4F22-8DBB-4C3A332E5509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>
                                  <a:off x="442080" y="6191083"/>
                                  <a:ext cx="365082" cy="145063"/>
                                </a:xfrm>
                                <a:prstGeom prst="rect">
                                  <a:avLst/>
                                </a:prstGeom>
                                <a:noFill/>
                                <a:ln w="9525" cmpd="sng">
                                  <a:noFill/>
                                </a:ln>
                              </xdr:spPr>
                              <xdr:style>
                                <a:lnRef idx="0">
                                  <a:scrgbClr r="0" g="0" b="0"/>
                                </a:lnRef>
                                <a:fillRef idx="0">
                                  <a:scrgbClr r="0" g="0" b="0"/>
                                </a:fillRef>
                                <a:effectRef idx="0">
                                  <a:scrgbClr r="0" g="0" b="0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wrap="square" rtlCol="0" anchor="ctr"/>
                                <a:lstStyle/>
                                <a:p>
                                  <a:r>
                                    <a:rPr lang="en-US" sz="900"/>
                                    <a:t>H</a:t>
                                  </a:r>
                                  <a:r>
                                    <a:rPr lang="en-US" sz="600"/>
                                    <a:t>sb</a:t>
                                  </a:r>
                                  <a:endParaRPr lang="en-US" sz="800"/>
                                </a:p>
                              </xdr:txBody>
                            </xdr:sp>
                          </xdr:grpSp>
                          <xdr:cxnSp macro="">
                            <xdr:nvCxnSpPr>
                              <xdr:cNvPr id="346" name="직선 화살표 연결선 274">
                                <a:extLst>
                                  <a:ext uri="{FF2B5EF4-FFF2-40B4-BE49-F238E27FC236}">
                                    <a16:creationId xmlns:a16="http://schemas.microsoft.com/office/drawing/2014/main" id="{C07849F1-40D2-44A9-B92F-131142DA5CCF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5659942" y="5241503"/>
                                <a:ext cx="378865" cy="0"/>
                              </a:xfrm>
                              <a:prstGeom prst="straightConnector1">
                                <a:avLst/>
                              </a:prstGeom>
                              <a:ln w="19050">
                                <a:solidFill>
                                  <a:srgbClr val="FF0000"/>
                                </a:solidFill>
                                <a:tailEnd type="stealth" w="lg" len="lg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sp macro="" textlink="">
                            <xdr:nvSpPr>
                              <xdr:cNvPr id="347" name="TextBox 346">
                                <a:extLst>
                                  <a:ext uri="{FF2B5EF4-FFF2-40B4-BE49-F238E27FC236}">
                                    <a16:creationId xmlns:a16="http://schemas.microsoft.com/office/drawing/2014/main" id="{79EC6B1D-7B1A-44C7-8B5D-2E22BDD0407D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5642102" y="5053315"/>
                                <a:ext cx="468999" cy="190064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sz="900"/>
                                  <a:t>P</a:t>
                                </a:r>
                                <a:r>
                                  <a:rPr lang="en-US" sz="600" baseline="0"/>
                                  <a:t>st</a:t>
                                </a:r>
                              </a:p>
                            </xdr:txBody>
                          </xdr:sp>
                          <xdr:cxnSp macro="">
                            <xdr:nvCxnSpPr>
                              <xdr:cNvPr id="348" name="직선 화살표 연결선 266">
                                <a:extLst>
                                  <a:ext uri="{FF2B5EF4-FFF2-40B4-BE49-F238E27FC236}">
                                    <a16:creationId xmlns:a16="http://schemas.microsoft.com/office/drawing/2014/main" id="{8E9900C9-04A0-4151-8C9C-B8A8B5F1051C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5254530" y="6085907"/>
                                <a:ext cx="355810" cy="0"/>
                              </a:xfrm>
                              <a:prstGeom prst="straightConnector1">
                                <a:avLst/>
                              </a:prstGeom>
                              <a:ln w="19050">
                                <a:solidFill>
                                  <a:srgbClr val="FF0000"/>
                                </a:solidFill>
                                <a:tailEnd type="stealth" w="lg" len="lg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sp macro="" textlink="">
                            <xdr:nvSpPr>
                              <xdr:cNvPr id="349" name="TextBox 348">
                                <a:extLst>
                                  <a:ext uri="{FF2B5EF4-FFF2-40B4-BE49-F238E27FC236}">
                                    <a16:creationId xmlns:a16="http://schemas.microsoft.com/office/drawing/2014/main" id="{47310F6F-8EBA-4163-BC2C-AFC578CC74A4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5557985" y="5989641"/>
                                <a:ext cx="395025" cy="168529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sz="900"/>
                                  <a:t>P</a:t>
                                </a:r>
                                <a:r>
                                  <a:rPr lang="en-US" sz="600"/>
                                  <a:t>sb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341" name="직선 연결선 207">
                              <a:extLst>
                                <a:ext uri="{FF2B5EF4-FFF2-40B4-BE49-F238E27FC236}">
                                  <a16:creationId xmlns:a16="http://schemas.microsoft.com/office/drawing/2014/main" id="{BCE467DD-BFFF-493B-9850-8BDA41B05497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432955" y="5070980"/>
                              <a:ext cx="251655" cy="0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342" name="직선 연결선 207">
                              <a:extLst>
                                <a:ext uri="{FF2B5EF4-FFF2-40B4-BE49-F238E27FC236}">
                                  <a16:creationId xmlns:a16="http://schemas.microsoft.com/office/drawing/2014/main" id="{6A345395-4352-42D3-BFBD-B530E1239D9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435661" y="4925724"/>
                              <a:ext cx="252521" cy="0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343" name="직선 연결선 208">
                              <a:extLst>
                                <a:ext uri="{FF2B5EF4-FFF2-40B4-BE49-F238E27FC236}">
                                  <a16:creationId xmlns:a16="http://schemas.microsoft.com/office/drawing/2014/main" id="{C89420F8-BA64-41A8-88C8-E440A5D30B8D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35660" y="4932976"/>
                              <a:ext cx="0" cy="14071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344" name="TextBox 343">
                              <a:extLst>
                                <a:ext uri="{FF2B5EF4-FFF2-40B4-BE49-F238E27FC236}">
                                  <a16:creationId xmlns:a16="http://schemas.microsoft.com/office/drawing/2014/main" id="{5EDB7BC8-5419-4963-8DA6-F9692001E92C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33991" y="4911329"/>
                              <a:ext cx="330937" cy="144213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sz="900"/>
                                <a:t>c</a:t>
                              </a:r>
                              <a:r>
                                <a:rPr lang="en-US" sz="600"/>
                                <a:t>rb</a:t>
                              </a:r>
                              <a:endParaRPr lang="en-US" sz="800"/>
                            </a:p>
                          </xdr:txBody>
                        </xdr:sp>
                      </xdr:grpSp>
                      <xdr:cxnSp macro="">
                        <xdr:nvCxnSpPr>
                          <xdr:cNvPr id="337" name="직선 연결선 207">
                            <a:extLst>
                              <a:ext uri="{FF2B5EF4-FFF2-40B4-BE49-F238E27FC236}">
                                <a16:creationId xmlns:a16="http://schemas.microsoft.com/office/drawing/2014/main" id="{F07AF4F4-D533-46E1-97D1-45F084B7A16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581782" y="4970859"/>
                            <a:ext cx="113649" cy="0"/>
                          </a:xfrm>
                          <a:prstGeom prst="line">
                            <a:avLst/>
                          </a:prstGeom>
                          <a:ln w="3175"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8" name="직선 연결선 207">
                            <a:extLst>
                              <a:ext uri="{FF2B5EF4-FFF2-40B4-BE49-F238E27FC236}">
                                <a16:creationId xmlns:a16="http://schemas.microsoft.com/office/drawing/2014/main" id="{A97AB7AD-2199-40F7-B6D2-B9BBA133C6DE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581783" y="4924858"/>
                            <a:ext cx="113649" cy="0"/>
                          </a:xfrm>
                          <a:prstGeom prst="line">
                            <a:avLst/>
                          </a:prstGeom>
                          <a:ln w="3175"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9" name="직선 연결선 208">
                            <a:extLst>
                              <a:ext uri="{FF2B5EF4-FFF2-40B4-BE49-F238E27FC236}">
                                <a16:creationId xmlns:a16="http://schemas.microsoft.com/office/drawing/2014/main" id="{463C7F56-A3A6-4312-9025-0C69AFEBBB8D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579077" y="4824737"/>
                            <a:ext cx="0" cy="140710"/>
                          </a:xfrm>
                          <a:prstGeom prst="line">
                            <a:avLst/>
                          </a:prstGeom>
                          <a:ln w="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sp macro="" textlink="">
                      <xdr:nvSpPr>
                        <xdr:cNvPr id="335" name="TextBox 334">
                          <a:extLst>
                            <a:ext uri="{FF2B5EF4-FFF2-40B4-BE49-F238E27FC236}">
                              <a16:creationId xmlns:a16="http://schemas.microsoft.com/office/drawing/2014/main" id="{AA34F019-9AAB-4A0C-96D6-4263D90357AC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03310" y="4685573"/>
                          <a:ext cx="330937" cy="144213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sz="900"/>
                            <a:t>c</a:t>
                          </a:r>
                          <a:r>
                            <a:rPr lang="en-US" sz="600"/>
                            <a:t>rt</a:t>
                          </a:r>
                          <a:endParaRPr lang="en-US" sz="800"/>
                        </a:p>
                      </xdr:txBody>
                    </xdr:sp>
                  </xdr:grpSp>
                  <xdr:sp macro="" textlink="">
                    <xdr:nvSpPr>
                      <xdr:cNvPr id="332" name="TextBox 331">
                        <a:extLst>
                          <a:ext uri="{FF2B5EF4-FFF2-40B4-BE49-F238E27FC236}">
                            <a16:creationId xmlns:a16="http://schemas.microsoft.com/office/drawing/2014/main" id="{952D0B37-4354-40BC-82FF-315867E6DA6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33750" y="467747"/>
                        <a:ext cx="1122589" cy="22743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Positive moment</a:t>
                        </a:r>
                        <a:endParaRPr lang="en-US" sz="600"/>
                      </a:p>
                    </xdr:txBody>
                  </xdr:sp>
                  <xdr:sp macro="" textlink="">
                    <xdr:nvSpPr>
                      <xdr:cNvPr id="333" name="TextBox 332">
                        <a:extLst>
                          <a:ext uri="{FF2B5EF4-FFF2-40B4-BE49-F238E27FC236}">
                            <a16:creationId xmlns:a16="http://schemas.microsoft.com/office/drawing/2014/main" id="{739D2D97-DE60-4D22-8758-89CA32E4F6F6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788013" y="450737"/>
                        <a:ext cx="1122589" cy="22743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Negative moment</a:t>
                        </a:r>
                        <a:endParaRPr lang="en-US" sz="600"/>
                      </a:p>
                    </xdr:txBody>
                  </xdr:sp>
                </xdr:grpSp>
                <xdr:grpSp>
                  <xdr:nvGrpSpPr>
                    <xdr:cNvPr id="324" name="Group 323">
                      <a:extLst>
                        <a:ext uri="{FF2B5EF4-FFF2-40B4-BE49-F238E27FC236}">
                          <a16:creationId xmlns:a16="http://schemas.microsoft.com/office/drawing/2014/main" id="{C9E994FA-7B62-4576-ABEF-7CC36FFB989C}"/>
                        </a:ext>
                      </a:extLst>
                    </xdr:cNvPr>
                    <xdr:cNvGrpSpPr/>
                  </xdr:nvGrpSpPr>
                  <xdr:grpSpPr>
                    <a:xfrm>
                      <a:off x="5998369" y="6157912"/>
                      <a:ext cx="570551" cy="435557"/>
                      <a:chOff x="5998369" y="6157912"/>
                      <a:chExt cx="570551" cy="435557"/>
                    </a:xfrm>
                  </xdr:grpSpPr>
                  <xdr:cxnSp macro="">
                    <xdr:nvCxnSpPr>
                      <xdr:cNvPr id="325" name="직선 화살표 연결선 266">
                        <a:extLst>
                          <a:ext uri="{FF2B5EF4-FFF2-40B4-BE49-F238E27FC236}">
                            <a16:creationId xmlns:a16="http://schemas.microsoft.com/office/drawing/2014/main" id="{718678EE-646A-49E6-9484-C7B0B8979159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6003131" y="6444865"/>
                        <a:ext cx="353720" cy="0"/>
                      </a:xfrm>
                      <a:prstGeom prst="straightConnector1">
                        <a:avLst/>
                      </a:prstGeom>
                      <a:ln w="19050">
                        <a:solidFill>
                          <a:srgbClr val="FF0000"/>
                        </a:solidFill>
                        <a:tailEnd type="stealth" w="lg" len="lg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326" name="TextBox 325">
                        <a:extLst>
                          <a:ext uri="{FF2B5EF4-FFF2-40B4-BE49-F238E27FC236}">
                            <a16:creationId xmlns:a16="http://schemas.microsoft.com/office/drawing/2014/main" id="{DC788586-8F25-44C4-B41D-7C059CB0A403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6176216" y="6424612"/>
                        <a:ext cx="392704" cy="168857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</a:t>
                        </a:r>
                        <a:r>
                          <a:rPr lang="en-US" sz="600"/>
                          <a:t>r3</a:t>
                        </a:r>
                      </a:p>
                    </xdr:txBody>
                  </xdr:sp>
                  <xdr:cxnSp macro="">
                    <xdr:nvCxnSpPr>
                      <xdr:cNvPr id="327" name="직선 화살표 연결선 266">
                        <a:extLst>
                          <a:ext uri="{FF2B5EF4-FFF2-40B4-BE49-F238E27FC236}">
                            <a16:creationId xmlns:a16="http://schemas.microsoft.com/office/drawing/2014/main" id="{D1657D45-D59A-4A05-A276-2CA2D5EC2050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6000750" y="6378190"/>
                        <a:ext cx="353720" cy="0"/>
                      </a:xfrm>
                      <a:prstGeom prst="straightConnector1">
                        <a:avLst/>
                      </a:prstGeom>
                      <a:ln w="19050">
                        <a:solidFill>
                          <a:srgbClr val="FF0000"/>
                        </a:solidFill>
                        <a:tailEnd type="stealth" w="lg" len="lg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328" name="TextBox 327">
                        <a:extLst>
                          <a:ext uri="{FF2B5EF4-FFF2-40B4-BE49-F238E27FC236}">
                            <a16:creationId xmlns:a16="http://schemas.microsoft.com/office/drawing/2014/main" id="{76089568-B3E7-416F-A04C-249C6058C99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6173835" y="6274593"/>
                        <a:ext cx="392704" cy="168857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</a:t>
                        </a:r>
                        <a:r>
                          <a:rPr lang="en-US" sz="600"/>
                          <a:t>r2</a:t>
                        </a:r>
                      </a:p>
                    </xdr:txBody>
                  </xdr:sp>
                  <xdr:cxnSp macro="">
                    <xdr:nvCxnSpPr>
                      <xdr:cNvPr id="329" name="직선 화살표 연결선 266">
                        <a:extLst>
                          <a:ext uri="{FF2B5EF4-FFF2-40B4-BE49-F238E27FC236}">
                            <a16:creationId xmlns:a16="http://schemas.microsoft.com/office/drawing/2014/main" id="{1AF5FEC0-C030-4855-B483-314B272B1D5A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5998369" y="6301990"/>
                        <a:ext cx="353720" cy="0"/>
                      </a:xfrm>
                      <a:prstGeom prst="straightConnector1">
                        <a:avLst/>
                      </a:prstGeom>
                      <a:ln w="19050">
                        <a:solidFill>
                          <a:srgbClr val="FF0000"/>
                        </a:solidFill>
                        <a:tailEnd type="stealth" w="lg" len="lg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330" name="TextBox 329">
                        <a:extLst>
                          <a:ext uri="{FF2B5EF4-FFF2-40B4-BE49-F238E27FC236}">
                            <a16:creationId xmlns:a16="http://schemas.microsoft.com/office/drawing/2014/main" id="{5651182D-7D5A-45B2-8D8F-D897781E513F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6157166" y="6157912"/>
                        <a:ext cx="392704" cy="168857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</a:t>
                        </a:r>
                        <a:r>
                          <a:rPr lang="en-US" sz="600"/>
                          <a:t>r1</a:t>
                        </a:r>
                      </a:p>
                    </xdr:txBody>
                  </xdr:sp>
                </xdr:grpSp>
              </xdr:grpSp>
            </xdr:grpSp>
          </xdr:grpSp>
          <xdr:cxnSp macro="">
            <xdr:nvCxnSpPr>
              <xdr:cNvPr id="314" name="Straight Connector 313">
                <a:extLst>
                  <a:ext uri="{FF2B5EF4-FFF2-40B4-BE49-F238E27FC236}">
                    <a16:creationId xmlns:a16="http://schemas.microsoft.com/office/drawing/2014/main" id="{A0F5CF61-A9F5-468D-9635-E65A334FA74C}"/>
                  </a:ext>
                </a:extLst>
              </xdr:cNvPr>
              <xdr:cNvCxnSpPr/>
            </xdr:nvCxnSpPr>
            <xdr:spPr>
              <a:xfrm>
                <a:off x="1545433" y="8970169"/>
                <a:ext cx="0" cy="90487"/>
              </a:xfrm>
              <a:prstGeom prst="line">
                <a:avLst/>
              </a:prstGeom>
              <a:ln w="3810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5" name="Straight Connector 314">
                <a:extLst>
                  <a:ext uri="{FF2B5EF4-FFF2-40B4-BE49-F238E27FC236}">
                    <a16:creationId xmlns:a16="http://schemas.microsoft.com/office/drawing/2014/main" id="{B185D19C-F3A8-43E9-BC34-BA3EA6066272}"/>
                  </a:ext>
                </a:extLst>
              </xdr:cNvPr>
              <xdr:cNvCxnSpPr/>
            </xdr:nvCxnSpPr>
            <xdr:spPr>
              <a:xfrm>
                <a:off x="1719263" y="8970169"/>
                <a:ext cx="0" cy="80963"/>
              </a:xfrm>
              <a:prstGeom prst="line">
                <a:avLst/>
              </a:prstGeom>
              <a:ln w="3810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6" name="Straight Connector 315">
                <a:extLst>
                  <a:ext uri="{FF2B5EF4-FFF2-40B4-BE49-F238E27FC236}">
                    <a16:creationId xmlns:a16="http://schemas.microsoft.com/office/drawing/2014/main" id="{45ADA144-030D-4A6E-BF64-A8E65A039F45}"/>
                  </a:ext>
                </a:extLst>
              </xdr:cNvPr>
              <xdr:cNvCxnSpPr/>
            </xdr:nvCxnSpPr>
            <xdr:spPr>
              <a:xfrm>
                <a:off x="1909767" y="8970169"/>
                <a:ext cx="0" cy="80963"/>
              </a:xfrm>
              <a:prstGeom prst="line">
                <a:avLst/>
              </a:prstGeom>
              <a:ln w="3810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7" name="직선 연결선 254">
                <a:extLst>
                  <a:ext uri="{FF2B5EF4-FFF2-40B4-BE49-F238E27FC236}">
                    <a16:creationId xmlns:a16="http://schemas.microsoft.com/office/drawing/2014/main" id="{97669E10-1713-4F8B-B4DB-C4CE4009B9AD}"/>
                  </a:ext>
                </a:extLst>
              </xdr:cNvPr>
              <xdr:cNvCxnSpPr/>
            </xdr:nvCxnSpPr>
            <xdr:spPr>
              <a:xfrm>
                <a:off x="1262063" y="9063038"/>
                <a:ext cx="919847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310" name="직선 연결선 238">
              <a:extLst>
                <a:ext uri="{FF2B5EF4-FFF2-40B4-BE49-F238E27FC236}">
                  <a16:creationId xmlns:a16="http://schemas.microsoft.com/office/drawing/2014/main" id="{967A2FB7-9C51-4458-B30E-D4747C686293}"/>
                </a:ext>
              </a:extLst>
            </xdr:cNvPr>
            <xdr:cNvCxnSpPr/>
          </xdr:nvCxnSpPr>
          <xdr:spPr>
            <a:xfrm>
              <a:off x="1410535" y="8855868"/>
              <a:ext cx="662702" cy="0"/>
            </a:xfrm>
            <a:prstGeom prst="line">
              <a:avLst/>
            </a:prstGeom>
            <a:ln>
              <a:solidFill>
                <a:srgbClr val="FF0000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1" name="직선 연결선 238">
              <a:extLst>
                <a:ext uri="{FF2B5EF4-FFF2-40B4-BE49-F238E27FC236}">
                  <a16:creationId xmlns:a16="http://schemas.microsoft.com/office/drawing/2014/main" id="{96E6E23A-14EB-4216-9BD7-96BC4FF41A17}"/>
                </a:ext>
              </a:extLst>
            </xdr:cNvPr>
            <xdr:cNvCxnSpPr/>
          </xdr:nvCxnSpPr>
          <xdr:spPr>
            <a:xfrm>
              <a:off x="1419225" y="8934450"/>
              <a:ext cx="655560" cy="0"/>
            </a:xfrm>
            <a:prstGeom prst="line">
              <a:avLst/>
            </a:prstGeom>
            <a:ln>
              <a:solidFill>
                <a:srgbClr val="FF0000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2" name="직선 연결선 238">
              <a:extLst>
                <a:ext uri="{FF2B5EF4-FFF2-40B4-BE49-F238E27FC236}">
                  <a16:creationId xmlns:a16="http://schemas.microsoft.com/office/drawing/2014/main" id="{FDD5C9C4-D78A-47AA-9927-328D55A98AE6}"/>
                </a:ext>
              </a:extLst>
            </xdr:cNvPr>
            <xdr:cNvCxnSpPr/>
          </xdr:nvCxnSpPr>
          <xdr:spPr>
            <a:xfrm>
              <a:off x="1431132" y="9003507"/>
              <a:ext cx="623888" cy="0"/>
            </a:xfrm>
            <a:prstGeom prst="line">
              <a:avLst/>
            </a:prstGeom>
            <a:ln>
              <a:solidFill>
                <a:srgbClr val="FF0000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07" name="직선 연결선 216">
            <a:extLst>
              <a:ext uri="{FF2B5EF4-FFF2-40B4-BE49-F238E27FC236}">
                <a16:creationId xmlns:a16="http://schemas.microsoft.com/office/drawing/2014/main" id="{70ABBAD8-59B3-4469-BC29-9A7674A1212B}"/>
              </a:ext>
            </a:extLst>
          </xdr:cNvPr>
          <xdr:cNvCxnSpPr/>
        </xdr:nvCxnSpPr>
        <xdr:spPr>
          <a:xfrm flipH="1">
            <a:off x="216693" y="8089106"/>
            <a:ext cx="403183" cy="0"/>
          </a:xfrm>
          <a:prstGeom prst="line">
            <a:avLst/>
          </a:prstGeom>
          <a:ln w="0">
            <a:tail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8" name="TextBox 307">
            <a:extLst>
              <a:ext uri="{FF2B5EF4-FFF2-40B4-BE49-F238E27FC236}">
                <a16:creationId xmlns:a16="http://schemas.microsoft.com/office/drawing/2014/main" id="{20447E90-DC83-484A-A6BB-93A786A307F4}"/>
              </a:ext>
            </a:extLst>
          </xdr:cNvPr>
          <xdr:cNvSpPr txBox="1"/>
        </xdr:nvSpPr>
        <xdr:spPr>
          <a:xfrm>
            <a:off x="0" y="7967663"/>
            <a:ext cx="314728" cy="1450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t</a:t>
            </a:r>
            <a:r>
              <a:rPr lang="en-US" sz="600"/>
              <a:t>h</a:t>
            </a:r>
          </a:p>
        </xdr:txBody>
      </xdr:sp>
    </xdr:grpSp>
    <xdr:clientData/>
  </xdr:twoCellAnchor>
  <xdr:twoCellAnchor>
    <xdr:from>
      <xdr:col>0</xdr:col>
      <xdr:colOff>327303</xdr:colOff>
      <xdr:row>460</xdr:row>
      <xdr:rowOff>0</xdr:rowOff>
    </xdr:from>
    <xdr:to>
      <xdr:col>6</xdr:col>
      <xdr:colOff>204159</xdr:colOff>
      <xdr:row>468</xdr:row>
      <xdr:rowOff>76586</xdr:rowOff>
    </xdr:to>
    <xdr:grpSp>
      <xdr:nvGrpSpPr>
        <xdr:cNvPr id="451" name="Group 450">
          <a:extLst>
            <a:ext uri="{FF2B5EF4-FFF2-40B4-BE49-F238E27FC236}">
              <a16:creationId xmlns:a16="http://schemas.microsoft.com/office/drawing/2014/main" id="{1DED39D7-CB40-4A67-A1BB-C429B2946F81}"/>
            </a:ext>
          </a:extLst>
        </xdr:cNvPr>
        <xdr:cNvGrpSpPr/>
      </xdr:nvGrpSpPr>
      <xdr:grpSpPr>
        <a:xfrm>
          <a:off x="327303" y="45148503"/>
          <a:ext cx="2505756" cy="1448183"/>
          <a:chOff x="701974" y="50571300"/>
          <a:chExt cx="2616463" cy="1458213"/>
        </a:xfrm>
      </xdr:grpSpPr>
      <xdr:sp macro="" textlink="">
        <xdr:nvSpPr>
          <xdr:cNvPr id="452" name="TextBox 451">
            <a:extLst>
              <a:ext uri="{FF2B5EF4-FFF2-40B4-BE49-F238E27FC236}">
                <a16:creationId xmlns:a16="http://schemas.microsoft.com/office/drawing/2014/main" id="{4F3BF5DC-765E-4AF7-8F7E-37DDE2273CC8}"/>
              </a:ext>
            </a:extLst>
          </xdr:cNvPr>
          <xdr:cNvSpPr txBox="1"/>
        </xdr:nvSpPr>
        <xdr:spPr>
          <a:xfrm>
            <a:off x="1465574" y="50571300"/>
            <a:ext cx="777917" cy="2329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ko-KR" altLang="en-US" sz="900">
                <a:latin typeface="+mj-ea"/>
                <a:ea typeface="+mj-ea"/>
              </a:rPr>
              <a:t>정모멘트</a:t>
            </a:r>
            <a:endParaRPr lang="en-US" sz="900">
              <a:latin typeface="+mj-ea"/>
              <a:ea typeface="+mj-ea"/>
            </a:endParaRPr>
          </a:p>
        </xdr:txBody>
      </xdr:sp>
      <xdr:grpSp>
        <xdr:nvGrpSpPr>
          <xdr:cNvPr id="453" name="Group 452">
            <a:extLst>
              <a:ext uri="{FF2B5EF4-FFF2-40B4-BE49-F238E27FC236}">
                <a16:creationId xmlns:a16="http://schemas.microsoft.com/office/drawing/2014/main" id="{C98103BE-7E98-4CBD-B71B-7AEF3047C576}"/>
              </a:ext>
            </a:extLst>
          </xdr:cNvPr>
          <xdr:cNvGrpSpPr/>
        </xdr:nvGrpSpPr>
        <xdr:grpSpPr>
          <a:xfrm>
            <a:off x="701974" y="50916559"/>
            <a:ext cx="2616463" cy="1112954"/>
            <a:chOff x="701974" y="50916559"/>
            <a:chExt cx="2616463" cy="1112954"/>
          </a:xfrm>
        </xdr:grpSpPr>
        <xdr:grpSp>
          <xdr:nvGrpSpPr>
            <xdr:cNvPr id="454" name="Group 453">
              <a:extLst>
                <a:ext uri="{FF2B5EF4-FFF2-40B4-BE49-F238E27FC236}">
                  <a16:creationId xmlns:a16="http://schemas.microsoft.com/office/drawing/2014/main" id="{9DC75652-582D-444C-8BB8-6E53C89059A9}"/>
                </a:ext>
              </a:extLst>
            </xdr:cNvPr>
            <xdr:cNvGrpSpPr/>
          </xdr:nvGrpSpPr>
          <xdr:grpSpPr>
            <a:xfrm>
              <a:off x="814419" y="50916559"/>
              <a:ext cx="1841586" cy="1088518"/>
              <a:chOff x="1428750" y="50673000"/>
              <a:chExt cx="2112618" cy="1248588"/>
            </a:xfrm>
          </xdr:grpSpPr>
          <xdr:sp macro="" textlink="">
            <xdr:nvSpPr>
              <xdr:cNvPr id="463" name="자유형 240">
                <a:extLst>
                  <a:ext uri="{FF2B5EF4-FFF2-40B4-BE49-F238E27FC236}">
                    <a16:creationId xmlns:a16="http://schemas.microsoft.com/office/drawing/2014/main" id="{8A85A8DB-3B6D-4D6B-BE5B-D325B1FD1AE4}"/>
                  </a:ext>
                </a:extLst>
              </xdr:cNvPr>
              <xdr:cNvSpPr/>
            </xdr:nvSpPr>
            <xdr:spPr>
              <a:xfrm>
                <a:off x="2124437" y="51659705"/>
                <a:ext cx="744444" cy="256143"/>
              </a:xfrm>
              <a:custGeom>
                <a:avLst/>
                <a:gdLst>
                  <a:gd name="connsiteX0" fmla="*/ 0 w 702468"/>
                  <a:gd name="connsiteY0" fmla="*/ 0 h 233363"/>
                  <a:gd name="connsiteX1" fmla="*/ 702468 w 702468"/>
                  <a:gd name="connsiteY1" fmla="*/ 0 h 233363"/>
                  <a:gd name="connsiteX2" fmla="*/ 652462 w 702468"/>
                  <a:gd name="connsiteY2" fmla="*/ 233363 h 233363"/>
                  <a:gd name="connsiteX3" fmla="*/ 40481 w 702468"/>
                  <a:gd name="connsiteY3" fmla="*/ 233363 h 233363"/>
                  <a:gd name="connsiteX4" fmla="*/ 0 w 702468"/>
                  <a:gd name="connsiteY4" fmla="*/ 0 h 23336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702468" h="233363">
                    <a:moveTo>
                      <a:pt x="0" y="0"/>
                    </a:moveTo>
                    <a:lnTo>
                      <a:pt x="702468" y="0"/>
                    </a:lnTo>
                    <a:lnTo>
                      <a:pt x="652462" y="233363"/>
                    </a:lnTo>
                    <a:lnTo>
                      <a:pt x="40481" y="233363"/>
                    </a:lnTo>
                    <a:lnTo>
                      <a:pt x="0" y="0"/>
                    </a:lnTo>
                    <a:close/>
                  </a:path>
                </a:pathLst>
              </a:custGeom>
              <a:pattFill prst="pct20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464" name="직선 연결선 254">
                <a:extLst>
                  <a:ext uri="{FF2B5EF4-FFF2-40B4-BE49-F238E27FC236}">
                    <a16:creationId xmlns:a16="http://schemas.microsoft.com/office/drawing/2014/main" id="{7F8A9A5B-414E-4088-BEFA-5D3E61A82E52}"/>
                  </a:ext>
                </a:extLst>
              </xdr:cNvPr>
              <xdr:cNvCxnSpPr/>
            </xdr:nvCxnSpPr>
            <xdr:spPr>
              <a:xfrm>
                <a:off x="2033231" y="51921588"/>
                <a:ext cx="919847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5" name="직선 연결선 255">
                <a:extLst>
                  <a:ext uri="{FF2B5EF4-FFF2-40B4-BE49-F238E27FC236}">
                    <a16:creationId xmlns:a16="http://schemas.microsoft.com/office/drawing/2014/main" id="{5E12B72B-15C3-4765-8AE5-003783D03291}"/>
                  </a:ext>
                </a:extLst>
              </xdr:cNvPr>
              <xdr:cNvCxnSpPr/>
            </xdr:nvCxnSpPr>
            <xdr:spPr>
              <a:xfrm flipH="1" flipV="1">
                <a:off x="1961788" y="50922343"/>
                <a:ext cx="204725" cy="996011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6" name="직선 연결선 256">
                <a:extLst>
                  <a:ext uri="{FF2B5EF4-FFF2-40B4-BE49-F238E27FC236}">
                    <a16:creationId xmlns:a16="http://schemas.microsoft.com/office/drawing/2014/main" id="{FC0282EE-996A-4C2F-98CF-5AC22F11E43A}"/>
                  </a:ext>
                </a:extLst>
              </xdr:cNvPr>
              <xdr:cNvCxnSpPr/>
            </xdr:nvCxnSpPr>
            <xdr:spPr>
              <a:xfrm flipV="1">
                <a:off x="2827193" y="50933277"/>
                <a:ext cx="188399" cy="982308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67" name="자유형 253">
                <a:extLst>
                  <a:ext uri="{FF2B5EF4-FFF2-40B4-BE49-F238E27FC236}">
                    <a16:creationId xmlns:a16="http://schemas.microsoft.com/office/drawing/2014/main" id="{B963BA54-5710-457C-A45F-99E43FF3B6BE}"/>
                  </a:ext>
                </a:extLst>
              </xdr:cNvPr>
              <xdr:cNvSpPr/>
            </xdr:nvSpPr>
            <xdr:spPr>
              <a:xfrm>
                <a:off x="1428750" y="50673000"/>
                <a:ext cx="2112618" cy="276369"/>
              </a:xfrm>
              <a:custGeom>
                <a:avLst/>
                <a:gdLst>
                  <a:gd name="connsiteX0" fmla="*/ 270761 w 2267627"/>
                  <a:gd name="connsiteY0" fmla="*/ 169226 h 234499"/>
                  <a:gd name="connsiteX1" fmla="*/ 0 w 2267627"/>
                  <a:gd name="connsiteY1" fmla="*/ 169226 h 234499"/>
                  <a:gd name="connsiteX2" fmla="*/ 0 w 2267627"/>
                  <a:gd name="connsiteY2" fmla="*/ 0 h 234499"/>
                  <a:gd name="connsiteX3" fmla="*/ 2267627 w 2267627"/>
                  <a:gd name="connsiteY3" fmla="*/ 0 h 234499"/>
                  <a:gd name="connsiteX4" fmla="*/ 2267627 w 2267627"/>
                  <a:gd name="connsiteY4" fmla="*/ 164391 h 234499"/>
                  <a:gd name="connsiteX5" fmla="*/ 1996865 w 2267627"/>
                  <a:gd name="connsiteY5" fmla="*/ 164391 h 234499"/>
                  <a:gd name="connsiteX6" fmla="*/ 1926757 w 2267627"/>
                  <a:gd name="connsiteY6" fmla="*/ 234499 h 234499"/>
                  <a:gd name="connsiteX7" fmla="*/ 336034 w 2267627"/>
                  <a:gd name="connsiteY7" fmla="*/ 234499 h 234499"/>
                  <a:gd name="connsiteX8" fmla="*/ 270761 w 2267627"/>
                  <a:gd name="connsiteY8" fmla="*/ 169226 h 23449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2267627" h="234499">
                    <a:moveTo>
                      <a:pt x="270761" y="169226"/>
                    </a:moveTo>
                    <a:lnTo>
                      <a:pt x="0" y="169226"/>
                    </a:lnTo>
                    <a:lnTo>
                      <a:pt x="0" y="0"/>
                    </a:lnTo>
                    <a:lnTo>
                      <a:pt x="2267627" y="0"/>
                    </a:lnTo>
                    <a:lnTo>
                      <a:pt x="2267627" y="164391"/>
                    </a:lnTo>
                    <a:lnTo>
                      <a:pt x="1996865" y="164391"/>
                    </a:lnTo>
                    <a:lnTo>
                      <a:pt x="1926757" y="234499"/>
                    </a:lnTo>
                    <a:lnTo>
                      <a:pt x="336034" y="234499"/>
                    </a:lnTo>
                    <a:lnTo>
                      <a:pt x="270761" y="169226"/>
                    </a:lnTo>
                    <a:close/>
                  </a:path>
                </a:pathLst>
              </a:custGeom>
              <a:pattFill prst="pct20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468" name="직선 연결선 251">
                <a:extLst>
                  <a:ext uri="{FF2B5EF4-FFF2-40B4-BE49-F238E27FC236}">
                    <a16:creationId xmlns:a16="http://schemas.microsoft.com/office/drawing/2014/main" id="{75C5FABB-E7A0-4757-B564-AE93297AF146}"/>
                  </a:ext>
                </a:extLst>
              </xdr:cNvPr>
              <xdr:cNvCxnSpPr/>
            </xdr:nvCxnSpPr>
            <xdr:spPr>
              <a:xfrm>
                <a:off x="1838092" y="50915449"/>
                <a:ext cx="1303860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455" name="Straight Connector 454">
              <a:extLst>
                <a:ext uri="{FF2B5EF4-FFF2-40B4-BE49-F238E27FC236}">
                  <a16:creationId xmlns:a16="http://schemas.microsoft.com/office/drawing/2014/main" id="{B82D30D4-8F27-4833-A60F-410616A0E455}"/>
                </a:ext>
              </a:extLst>
            </xdr:cNvPr>
            <xdr:cNvCxnSpPr/>
          </xdr:nvCxnSpPr>
          <xdr:spPr>
            <a:xfrm>
              <a:off x="789488" y="51248840"/>
              <a:ext cx="2183079" cy="0"/>
            </a:xfrm>
            <a:prstGeom prst="line">
              <a:avLst/>
            </a:prstGeom>
            <a:ln>
              <a:solidFill>
                <a:srgbClr val="FF0000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6" name="Straight Connector 455">
              <a:extLst>
                <a:ext uri="{FF2B5EF4-FFF2-40B4-BE49-F238E27FC236}">
                  <a16:creationId xmlns:a16="http://schemas.microsoft.com/office/drawing/2014/main" id="{1BC942F2-4869-4D24-A03D-23CD79448707}"/>
                </a:ext>
              </a:extLst>
            </xdr:cNvPr>
            <xdr:cNvCxnSpPr/>
          </xdr:nvCxnSpPr>
          <xdr:spPr>
            <a:xfrm flipH="1">
              <a:off x="2699086" y="50921237"/>
              <a:ext cx="378959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7" name="Straight Connector 456">
              <a:extLst>
                <a:ext uri="{FF2B5EF4-FFF2-40B4-BE49-F238E27FC236}">
                  <a16:creationId xmlns:a16="http://schemas.microsoft.com/office/drawing/2014/main" id="{83C273C2-6BD8-4CC1-9BB0-354007F692D0}"/>
                </a:ext>
              </a:extLst>
            </xdr:cNvPr>
            <xdr:cNvCxnSpPr/>
          </xdr:nvCxnSpPr>
          <xdr:spPr>
            <a:xfrm>
              <a:off x="2853403" y="50923591"/>
              <a:ext cx="0" cy="327056"/>
            </a:xfrm>
            <a:prstGeom prst="line">
              <a:avLst/>
            </a:prstGeom>
            <a:ln w="3175">
              <a:headEnd type="oval" w="sm" len="sm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58" name="TextBox 457">
              <a:extLst>
                <a:ext uri="{FF2B5EF4-FFF2-40B4-BE49-F238E27FC236}">
                  <a16:creationId xmlns:a16="http://schemas.microsoft.com/office/drawing/2014/main" id="{645B416B-51A9-45CC-AC88-1AD153308C41}"/>
                </a:ext>
              </a:extLst>
            </xdr:cNvPr>
            <xdr:cNvSpPr txBox="1"/>
          </xdr:nvSpPr>
          <xdr:spPr>
            <a:xfrm>
              <a:off x="701974" y="51102392"/>
              <a:ext cx="430427" cy="1664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PNA</a:t>
              </a:r>
              <a:endParaRPr lang="en-US" sz="600"/>
            </a:p>
          </xdr:txBody>
        </xdr:sp>
        <xdr:sp macro="" textlink="">
          <xdr:nvSpPr>
            <xdr:cNvPr id="459" name="TextBox 458">
              <a:extLst>
                <a:ext uri="{FF2B5EF4-FFF2-40B4-BE49-F238E27FC236}">
                  <a16:creationId xmlns:a16="http://schemas.microsoft.com/office/drawing/2014/main" id="{E594A58F-624D-4FD4-9AA1-2DF6610FFF83}"/>
                </a:ext>
              </a:extLst>
            </xdr:cNvPr>
            <xdr:cNvSpPr txBox="1"/>
          </xdr:nvSpPr>
          <xdr:spPr>
            <a:xfrm>
              <a:off x="2783316" y="50966405"/>
              <a:ext cx="350897" cy="22830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D</a:t>
              </a:r>
              <a:r>
                <a:rPr lang="en-US" sz="700"/>
                <a:t>p</a:t>
              </a:r>
              <a:endParaRPr lang="en-US" sz="900"/>
            </a:p>
          </xdr:txBody>
        </xdr:sp>
        <xdr:cxnSp macro="">
          <xdr:nvCxnSpPr>
            <xdr:cNvPr id="460" name="Straight Connector 459">
              <a:extLst>
                <a:ext uri="{FF2B5EF4-FFF2-40B4-BE49-F238E27FC236}">
                  <a16:creationId xmlns:a16="http://schemas.microsoft.com/office/drawing/2014/main" id="{7233D578-1B43-4EBE-A1FC-33437415F8BB}"/>
                </a:ext>
              </a:extLst>
            </xdr:cNvPr>
            <xdr:cNvCxnSpPr/>
          </xdr:nvCxnSpPr>
          <xdr:spPr>
            <a:xfrm flipH="1">
              <a:off x="2211847" y="52029513"/>
              <a:ext cx="866198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1" name="Straight Connector 460">
              <a:extLst>
                <a:ext uri="{FF2B5EF4-FFF2-40B4-BE49-F238E27FC236}">
                  <a16:creationId xmlns:a16="http://schemas.microsoft.com/office/drawing/2014/main" id="{BD21096C-B729-47D9-8D01-B289BB127697}"/>
                </a:ext>
              </a:extLst>
            </xdr:cNvPr>
            <xdr:cNvCxnSpPr/>
          </xdr:nvCxnSpPr>
          <xdr:spPr>
            <a:xfrm>
              <a:off x="3071653" y="50917198"/>
              <a:ext cx="0" cy="1112315"/>
            </a:xfrm>
            <a:prstGeom prst="line">
              <a:avLst/>
            </a:prstGeom>
            <a:ln w="3175">
              <a:headEnd type="oval" w="sm" len="sm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62" name="TextBox 461">
              <a:extLst>
                <a:ext uri="{FF2B5EF4-FFF2-40B4-BE49-F238E27FC236}">
                  <a16:creationId xmlns:a16="http://schemas.microsoft.com/office/drawing/2014/main" id="{F3FBFF48-6589-4543-BBB0-6406DAE5D98C}"/>
                </a:ext>
              </a:extLst>
            </xdr:cNvPr>
            <xdr:cNvSpPr txBox="1"/>
          </xdr:nvSpPr>
          <xdr:spPr>
            <a:xfrm>
              <a:off x="3007727" y="51374271"/>
              <a:ext cx="310710" cy="222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D</a:t>
              </a:r>
              <a:r>
                <a:rPr lang="en-US" sz="700"/>
                <a:t>t</a:t>
              </a:r>
              <a:endParaRPr lang="en-US" sz="900"/>
            </a:p>
          </xdr:txBody>
        </xdr:sp>
      </xdr:grpSp>
    </xdr:grpSp>
    <xdr:clientData/>
  </xdr:twoCellAnchor>
  <xdr:twoCellAnchor>
    <xdr:from>
      <xdr:col>7</xdr:col>
      <xdr:colOff>355589</xdr:colOff>
      <xdr:row>460</xdr:row>
      <xdr:rowOff>0</xdr:rowOff>
    </xdr:from>
    <xdr:to>
      <xdr:col>12</xdr:col>
      <xdr:colOff>365903</xdr:colOff>
      <xdr:row>468</xdr:row>
      <xdr:rowOff>69205</xdr:rowOff>
    </xdr:to>
    <xdr:grpSp>
      <xdr:nvGrpSpPr>
        <xdr:cNvPr id="469" name="Group 468">
          <a:extLst>
            <a:ext uri="{FF2B5EF4-FFF2-40B4-BE49-F238E27FC236}">
              <a16:creationId xmlns:a16="http://schemas.microsoft.com/office/drawing/2014/main" id="{4A8E2373-996E-455E-BF91-718E91924A7A}"/>
            </a:ext>
          </a:extLst>
        </xdr:cNvPr>
        <xdr:cNvGrpSpPr/>
      </xdr:nvGrpSpPr>
      <xdr:grpSpPr>
        <a:xfrm>
          <a:off x="3422639" y="45165397"/>
          <a:ext cx="2201064" cy="1423908"/>
          <a:chOff x="744784" y="50571300"/>
          <a:chExt cx="2297296" cy="1433777"/>
        </a:xfrm>
      </xdr:grpSpPr>
      <xdr:sp macro="" textlink="">
        <xdr:nvSpPr>
          <xdr:cNvPr id="470" name="TextBox 469">
            <a:extLst>
              <a:ext uri="{FF2B5EF4-FFF2-40B4-BE49-F238E27FC236}">
                <a16:creationId xmlns:a16="http://schemas.microsoft.com/office/drawing/2014/main" id="{9D1DE085-AAF8-4C81-A43A-C52D3606EC8D}"/>
              </a:ext>
            </a:extLst>
          </xdr:cNvPr>
          <xdr:cNvSpPr txBox="1"/>
        </xdr:nvSpPr>
        <xdr:spPr>
          <a:xfrm>
            <a:off x="1465574" y="50571300"/>
            <a:ext cx="777917" cy="2329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ko-KR" altLang="en-US" sz="900">
                <a:latin typeface="+mj-ea"/>
                <a:ea typeface="+mj-ea"/>
              </a:rPr>
              <a:t>부모멘트</a:t>
            </a:r>
            <a:endParaRPr lang="en-US" sz="900">
              <a:latin typeface="+mj-ea"/>
              <a:ea typeface="+mj-ea"/>
            </a:endParaRPr>
          </a:p>
        </xdr:txBody>
      </xdr:sp>
      <xdr:grpSp>
        <xdr:nvGrpSpPr>
          <xdr:cNvPr id="471" name="Group 470">
            <a:extLst>
              <a:ext uri="{FF2B5EF4-FFF2-40B4-BE49-F238E27FC236}">
                <a16:creationId xmlns:a16="http://schemas.microsoft.com/office/drawing/2014/main" id="{69B51B27-4908-45E6-A010-1A074EA68622}"/>
              </a:ext>
            </a:extLst>
          </xdr:cNvPr>
          <xdr:cNvGrpSpPr/>
        </xdr:nvGrpSpPr>
        <xdr:grpSpPr>
          <a:xfrm>
            <a:off x="744784" y="50916559"/>
            <a:ext cx="2297296" cy="1088518"/>
            <a:chOff x="744784" y="50916559"/>
            <a:chExt cx="2297296" cy="1088518"/>
          </a:xfrm>
        </xdr:grpSpPr>
        <xdr:grpSp>
          <xdr:nvGrpSpPr>
            <xdr:cNvPr id="472" name="Group 471">
              <a:extLst>
                <a:ext uri="{FF2B5EF4-FFF2-40B4-BE49-F238E27FC236}">
                  <a16:creationId xmlns:a16="http://schemas.microsoft.com/office/drawing/2014/main" id="{DFF98691-7B94-4485-BE2B-AA339A27BA72}"/>
                </a:ext>
              </a:extLst>
            </xdr:cNvPr>
            <xdr:cNvGrpSpPr/>
          </xdr:nvGrpSpPr>
          <xdr:grpSpPr>
            <a:xfrm>
              <a:off x="814419" y="50916559"/>
              <a:ext cx="1841586" cy="1088518"/>
              <a:chOff x="1428750" y="50673000"/>
              <a:chExt cx="2112618" cy="1248588"/>
            </a:xfrm>
          </xdr:grpSpPr>
          <xdr:sp macro="" textlink="">
            <xdr:nvSpPr>
              <xdr:cNvPr id="481" name="자유형 240">
                <a:extLst>
                  <a:ext uri="{FF2B5EF4-FFF2-40B4-BE49-F238E27FC236}">
                    <a16:creationId xmlns:a16="http://schemas.microsoft.com/office/drawing/2014/main" id="{A834435B-39E5-4593-A78F-758C5622053A}"/>
                  </a:ext>
                </a:extLst>
              </xdr:cNvPr>
              <xdr:cNvSpPr/>
            </xdr:nvSpPr>
            <xdr:spPr>
              <a:xfrm>
                <a:off x="2121713" y="51659705"/>
                <a:ext cx="751128" cy="233047"/>
              </a:xfrm>
              <a:custGeom>
                <a:avLst/>
                <a:gdLst>
                  <a:gd name="connsiteX0" fmla="*/ 0 w 702468"/>
                  <a:gd name="connsiteY0" fmla="*/ 0 h 233363"/>
                  <a:gd name="connsiteX1" fmla="*/ 702468 w 702468"/>
                  <a:gd name="connsiteY1" fmla="*/ 0 h 233363"/>
                  <a:gd name="connsiteX2" fmla="*/ 652462 w 702468"/>
                  <a:gd name="connsiteY2" fmla="*/ 233363 h 233363"/>
                  <a:gd name="connsiteX3" fmla="*/ 40481 w 702468"/>
                  <a:gd name="connsiteY3" fmla="*/ 233363 h 233363"/>
                  <a:gd name="connsiteX4" fmla="*/ 0 w 702468"/>
                  <a:gd name="connsiteY4" fmla="*/ 0 h 23336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702468" h="233363">
                    <a:moveTo>
                      <a:pt x="0" y="0"/>
                    </a:moveTo>
                    <a:lnTo>
                      <a:pt x="702468" y="0"/>
                    </a:lnTo>
                    <a:lnTo>
                      <a:pt x="652462" y="233363"/>
                    </a:lnTo>
                    <a:lnTo>
                      <a:pt x="40481" y="233363"/>
                    </a:lnTo>
                    <a:lnTo>
                      <a:pt x="0" y="0"/>
                    </a:lnTo>
                    <a:close/>
                  </a:path>
                </a:pathLst>
              </a:custGeom>
              <a:pattFill prst="pct20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482" name="직선 연결선 254">
                <a:extLst>
                  <a:ext uri="{FF2B5EF4-FFF2-40B4-BE49-F238E27FC236}">
                    <a16:creationId xmlns:a16="http://schemas.microsoft.com/office/drawing/2014/main" id="{7E389EAD-429B-4F82-A4BF-00FBAD79ACD5}"/>
                  </a:ext>
                </a:extLst>
              </xdr:cNvPr>
              <xdr:cNvCxnSpPr/>
            </xdr:nvCxnSpPr>
            <xdr:spPr>
              <a:xfrm>
                <a:off x="2033231" y="51921588"/>
                <a:ext cx="919847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3" name="직선 연결선 255">
                <a:extLst>
                  <a:ext uri="{FF2B5EF4-FFF2-40B4-BE49-F238E27FC236}">
                    <a16:creationId xmlns:a16="http://schemas.microsoft.com/office/drawing/2014/main" id="{7E5563DE-8821-43A3-9DD0-203D067AE980}"/>
                  </a:ext>
                </a:extLst>
              </xdr:cNvPr>
              <xdr:cNvCxnSpPr/>
            </xdr:nvCxnSpPr>
            <xdr:spPr>
              <a:xfrm flipH="1" flipV="1">
                <a:off x="1961788" y="50922343"/>
                <a:ext cx="204725" cy="996011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4" name="직선 연결선 256">
                <a:extLst>
                  <a:ext uri="{FF2B5EF4-FFF2-40B4-BE49-F238E27FC236}">
                    <a16:creationId xmlns:a16="http://schemas.microsoft.com/office/drawing/2014/main" id="{EDD41C64-1DA6-4CBE-9D3B-E85E68949BE8}"/>
                  </a:ext>
                </a:extLst>
              </xdr:cNvPr>
              <xdr:cNvCxnSpPr/>
            </xdr:nvCxnSpPr>
            <xdr:spPr>
              <a:xfrm flipV="1">
                <a:off x="2827193" y="50933277"/>
                <a:ext cx="188399" cy="982308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85" name="자유형 253">
                <a:extLst>
                  <a:ext uri="{FF2B5EF4-FFF2-40B4-BE49-F238E27FC236}">
                    <a16:creationId xmlns:a16="http://schemas.microsoft.com/office/drawing/2014/main" id="{3E8979FD-FA68-4E45-A262-D93C50FF24B2}"/>
                  </a:ext>
                </a:extLst>
              </xdr:cNvPr>
              <xdr:cNvSpPr/>
            </xdr:nvSpPr>
            <xdr:spPr>
              <a:xfrm>
                <a:off x="1428750" y="50673000"/>
                <a:ext cx="2112618" cy="267284"/>
              </a:xfrm>
              <a:custGeom>
                <a:avLst/>
                <a:gdLst>
                  <a:gd name="connsiteX0" fmla="*/ 270761 w 2267627"/>
                  <a:gd name="connsiteY0" fmla="*/ 169226 h 234499"/>
                  <a:gd name="connsiteX1" fmla="*/ 0 w 2267627"/>
                  <a:gd name="connsiteY1" fmla="*/ 169226 h 234499"/>
                  <a:gd name="connsiteX2" fmla="*/ 0 w 2267627"/>
                  <a:gd name="connsiteY2" fmla="*/ 0 h 234499"/>
                  <a:gd name="connsiteX3" fmla="*/ 2267627 w 2267627"/>
                  <a:gd name="connsiteY3" fmla="*/ 0 h 234499"/>
                  <a:gd name="connsiteX4" fmla="*/ 2267627 w 2267627"/>
                  <a:gd name="connsiteY4" fmla="*/ 164391 h 234499"/>
                  <a:gd name="connsiteX5" fmla="*/ 1996865 w 2267627"/>
                  <a:gd name="connsiteY5" fmla="*/ 164391 h 234499"/>
                  <a:gd name="connsiteX6" fmla="*/ 1926757 w 2267627"/>
                  <a:gd name="connsiteY6" fmla="*/ 234499 h 234499"/>
                  <a:gd name="connsiteX7" fmla="*/ 336034 w 2267627"/>
                  <a:gd name="connsiteY7" fmla="*/ 234499 h 234499"/>
                  <a:gd name="connsiteX8" fmla="*/ 270761 w 2267627"/>
                  <a:gd name="connsiteY8" fmla="*/ 169226 h 23449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2267627" h="234499">
                    <a:moveTo>
                      <a:pt x="270761" y="169226"/>
                    </a:moveTo>
                    <a:lnTo>
                      <a:pt x="0" y="169226"/>
                    </a:lnTo>
                    <a:lnTo>
                      <a:pt x="0" y="0"/>
                    </a:lnTo>
                    <a:lnTo>
                      <a:pt x="2267627" y="0"/>
                    </a:lnTo>
                    <a:lnTo>
                      <a:pt x="2267627" y="164391"/>
                    </a:lnTo>
                    <a:lnTo>
                      <a:pt x="1996865" y="164391"/>
                    </a:lnTo>
                    <a:lnTo>
                      <a:pt x="1926757" y="234499"/>
                    </a:lnTo>
                    <a:lnTo>
                      <a:pt x="336034" y="234499"/>
                    </a:lnTo>
                    <a:lnTo>
                      <a:pt x="270761" y="169226"/>
                    </a:lnTo>
                    <a:close/>
                  </a:path>
                </a:pathLst>
              </a:custGeom>
              <a:pattFill prst="pct20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486" name="직선 연결선 251">
                <a:extLst>
                  <a:ext uri="{FF2B5EF4-FFF2-40B4-BE49-F238E27FC236}">
                    <a16:creationId xmlns:a16="http://schemas.microsoft.com/office/drawing/2014/main" id="{2257802C-F60A-4EC5-BD81-812D602AB3E6}"/>
                  </a:ext>
                </a:extLst>
              </xdr:cNvPr>
              <xdr:cNvCxnSpPr/>
            </xdr:nvCxnSpPr>
            <xdr:spPr>
              <a:xfrm>
                <a:off x="1838092" y="50915449"/>
                <a:ext cx="1303860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473" name="Straight Connector 472">
              <a:extLst>
                <a:ext uri="{FF2B5EF4-FFF2-40B4-BE49-F238E27FC236}">
                  <a16:creationId xmlns:a16="http://schemas.microsoft.com/office/drawing/2014/main" id="{483B6D3E-5C66-458E-9F6A-B1C4E2CBF8F2}"/>
                </a:ext>
              </a:extLst>
            </xdr:cNvPr>
            <xdr:cNvCxnSpPr/>
          </xdr:nvCxnSpPr>
          <xdr:spPr>
            <a:xfrm>
              <a:off x="786937" y="51640586"/>
              <a:ext cx="1880054" cy="0"/>
            </a:xfrm>
            <a:prstGeom prst="line">
              <a:avLst/>
            </a:prstGeom>
            <a:ln>
              <a:solidFill>
                <a:srgbClr val="FF0000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4" name="Straight Connector 473">
              <a:extLst>
                <a:ext uri="{FF2B5EF4-FFF2-40B4-BE49-F238E27FC236}">
                  <a16:creationId xmlns:a16="http://schemas.microsoft.com/office/drawing/2014/main" id="{5858D9DB-BEF6-49D6-A1D5-83870F1E9E0B}"/>
                </a:ext>
              </a:extLst>
            </xdr:cNvPr>
            <xdr:cNvCxnSpPr/>
          </xdr:nvCxnSpPr>
          <xdr:spPr>
            <a:xfrm flipH="1">
              <a:off x="2316529" y="51105345"/>
              <a:ext cx="488183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5" name="Straight Connector 474">
              <a:extLst>
                <a:ext uri="{FF2B5EF4-FFF2-40B4-BE49-F238E27FC236}">
                  <a16:creationId xmlns:a16="http://schemas.microsoft.com/office/drawing/2014/main" id="{DA0411B4-BA64-47B9-913A-D5A0FEC78E4F}"/>
                </a:ext>
              </a:extLst>
            </xdr:cNvPr>
            <xdr:cNvCxnSpPr/>
          </xdr:nvCxnSpPr>
          <xdr:spPr>
            <a:xfrm>
              <a:off x="2519304" y="51643992"/>
              <a:ext cx="0" cy="332382"/>
            </a:xfrm>
            <a:prstGeom prst="line">
              <a:avLst/>
            </a:prstGeom>
            <a:ln w="3175">
              <a:headEnd type="oval" w="sm" len="sm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76" name="TextBox 475">
              <a:extLst>
                <a:ext uri="{FF2B5EF4-FFF2-40B4-BE49-F238E27FC236}">
                  <a16:creationId xmlns:a16="http://schemas.microsoft.com/office/drawing/2014/main" id="{5EEB1AFC-161B-4E6B-A72A-7CE31035234B}"/>
                </a:ext>
              </a:extLst>
            </xdr:cNvPr>
            <xdr:cNvSpPr txBox="1"/>
          </xdr:nvSpPr>
          <xdr:spPr>
            <a:xfrm>
              <a:off x="744784" y="51470918"/>
              <a:ext cx="430427" cy="1664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PNA</a:t>
              </a:r>
              <a:endParaRPr lang="en-US" sz="600"/>
            </a:p>
          </xdr:txBody>
        </xdr:sp>
        <xdr:sp macro="" textlink="">
          <xdr:nvSpPr>
            <xdr:cNvPr id="477" name="TextBox 476">
              <a:extLst>
                <a:ext uri="{FF2B5EF4-FFF2-40B4-BE49-F238E27FC236}">
                  <a16:creationId xmlns:a16="http://schemas.microsoft.com/office/drawing/2014/main" id="{69986EEE-8E69-4878-9D67-3FA0B4302A34}"/>
                </a:ext>
              </a:extLst>
            </xdr:cNvPr>
            <xdr:cNvSpPr txBox="1"/>
          </xdr:nvSpPr>
          <xdr:spPr>
            <a:xfrm>
              <a:off x="2435442" y="51698302"/>
              <a:ext cx="350897" cy="22830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D</a:t>
              </a:r>
              <a:r>
                <a:rPr lang="en-US" sz="700"/>
                <a:t>p</a:t>
              </a:r>
              <a:endParaRPr lang="en-US" sz="900"/>
            </a:p>
          </xdr:txBody>
        </xdr:sp>
        <xdr:cxnSp macro="">
          <xdr:nvCxnSpPr>
            <xdr:cNvPr id="478" name="Straight Connector 477">
              <a:extLst>
                <a:ext uri="{FF2B5EF4-FFF2-40B4-BE49-F238E27FC236}">
                  <a16:creationId xmlns:a16="http://schemas.microsoft.com/office/drawing/2014/main" id="{C607CA06-7DF1-4734-819C-651049C3ED54}"/>
                </a:ext>
              </a:extLst>
            </xdr:cNvPr>
            <xdr:cNvCxnSpPr/>
          </xdr:nvCxnSpPr>
          <xdr:spPr>
            <a:xfrm flipH="1">
              <a:off x="2183542" y="51976763"/>
              <a:ext cx="623722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9" name="Straight Connector 478">
              <a:extLst>
                <a:ext uri="{FF2B5EF4-FFF2-40B4-BE49-F238E27FC236}">
                  <a16:creationId xmlns:a16="http://schemas.microsoft.com/office/drawing/2014/main" id="{9BA31170-06F3-48F0-80FD-2C8EF367CBB0}"/>
                </a:ext>
              </a:extLst>
            </xdr:cNvPr>
            <xdr:cNvCxnSpPr/>
          </xdr:nvCxnSpPr>
          <xdr:spPr>
            <a:xfrm>
              <a:off x="2801312" y="51104295"/>
              <a:ext cx="0" cy="874476"/>
            </a:xfrm>
            <a:prstGeom prst="line">
              <a:avLst/>
            </a:prstGeom>
            <a:ln w="3175">
              <a:headEnd type="oval" w="sm" len="sm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80" name="TextBox 479">
              <a:extLst>
                <a:ext uri="{FF2B5EF4-FFF2-40B4-BE49-F238E27FC236}">
                  <a16:creationId xmlns:a16="http://schemas.microsoft.com/office/drawing/2014/main" id="{9E38DC91-C804-4C22-A4A9-0127D794D771}"/>
                </a:ext>
              </a:extLst>
            </xdr:cNvPr>
            <xdr:cNvSpPr txBox="1"/>
          </xdr:nvSpPr>
          <xdr:spPr>
            <a:xfrm>
              <a:off x="2731370" y="51349807"/>
              <a:ext cx="310710" cy="222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D</a:t>
              </a:r>
              <a:r>
                <a:rPr lang="en-US" sz="700"/>
                <a:t>t</a:t>
              </a:r>
              <a:endParaRPr lang="en-US" sz="900"/>
            </a:p>
          </xdr:txBody>
        </xdr:sp>
      </xdr:grpSp>
    </xdr:grpSp>
    <xdr:clientData/>
  </xdr:twoCellAnchor>
  <xdr:twoCellAnchor>
    <xdr:from>
      <xdr:col>3</xdr:col>
      <xdr:colOff>166818</xdr:colOff>
      <xdr:row>798</xdr:row>
      <xdr:rowOff>0</xdr:rowOff>
    </xdr:from>
    <xdr:to>
      <xdr:col>10</xdr:col>
      <xdr:colOff>44929</xdr:colOff>
      <xdr:row>803</xdr:row>
      <xdr:rowOff>151782</xdr:rowOff>
    </xdr:to>
    <xdr:grpSp>
      <xdr:nvGrpSpPr>
        <xdr:cNvPr id="497" name="Group 496">
          <a:extLst>
            <a:ext uri="{FF2B5EF4-FFF2-40B4-BE49-F238E27FC236}">
              <a16:creationId xmlns:a16="http://schemas.microsoft.com/office/drawing/2014/main" id="{4F3A5D05-3D73-447A-8CA2-03E32DF3E754}"/>
            </a:ext>
          </a:extLst>
        </xdr:cNvPr>
        <xdr:cNvGrpSpPr/>
      </xdr:nvGrpSpPr>
      <xdr:grpSpPr>
        <a:xfrm>
          <a:off x="1481268" y="83284559"/>
          <a:ext cx="2945161" cy="1087273"/>
          <a:chOff x="855680" y="136658236"/>
          <a:chExt cx="3011058" cy="1070265"/>
        </a:xfrm>
      </xdr:grpSpPr>
      <xdr:grpSp>
        <xdr:nvGrpSpPr>
          <xdr:cNvPr id="498" name="Group 497">
            <a:extLst>
              <a:ext uri="{FF2B5EF4-FFF2-40B4-BE49-F238E27FC236}">
                <a16:creationId xmlns:a16="http://schemas.microsoft.com/office/drawing/2014/main" id="{61B07ACC-30E2-43EA-A5A5-08AB4BE5F3DE}"/>
              </a:ext>
            </a:extLst>
          </xdr:cNvPr>
          <xdr:cNvGrpSpPr/>
        </xdr:nvGrpSpPr>
        <xdr:grpSpPr>
          <a:xfrm>
            <a:off x="870389" y="136979361"/>
            <a:ext cx="2996349" cy="749140"/>
            <a:chOff x="376197" y="140741881"/>
            <a:chExt cx="4238225" cy="1080242"/>
          </a:xfrm>
        </xdr:grpSpPr>
        <xdr:sp macro="" textlink="">
          <xdr:nvSpPr>
            <xdr:cNvPr id="507" name="Freeform 206">
              <a:extLst>
                <a:ext uri="{FF2B5EF4-FFF2-40B4-BE49-F238E27FC236}">
                  <a16:creationId xmlns:a16="http://schemas.microsoft.com/office/drawing/2014/main" id="{49462BFE-4A42-41A3-9CC7-A230B7EE9C6D}"/>
                </a:ext>
              </a:extLst>
            </xdr:cNvPr>
            <xdr:cNvSpPr/>
          </xdr:nvSpPr>
          <xdr:spPr>
            <a:xfrm>
              <a:off x="376197" y="140741881"/>
              <a:ext cx="4238225" cy="232121"/>
            </a:xfrm>
            <a:custGeom>
              <a:avLst/>
              <a:gdLst>
                <a:gd name="connsiteX0" fmla="*/ 240127 w 4238225"/>
                <a:gd name="connsiteY0" fmla="*/ 176092 h 232121"/>
                <a:gd name="connsiteX1" fmla="*/ 0 w 4238225"/>
                <a:gd name="connsiteY1" fmla="*/ 176092 h 232121"/>
                <a:gd name="connsiteX2" fmla="*/ 0 w 4238225"/>
                <a:gd name="connsiteY2" fmla="*/ 0 h 232121"/>
                <a:gd name="connsiteX3" fmla="*/ 4238225 w 4238225"/>
                <a:gd name="connsiteY3" fmla="*/ 0 h 232121"/>
                <a:gd name="connsiteX4" fmla="*/ 4238225 w 4238225"/>
                <a:gd name="connsiteY4" fmla="*/ 160084 h 232121"/>
                <a:gd name="connsiteX5" fmla="*/ 3982091 w 4238225"/>
                <a:gd name="connsiteY5" fmla="*/ 160084 h 232121"/>
                <a:gd name="connsiteX6" fmla="*/ 3926061 w 4238225"/>
                <a:gd name="connsiteY6" fmla="*/ 216114 h 232121"/>
                <a:gd name="connsiteX7" fmla="*/ 2433278 w 4238225"/>
                <a:gd name="connsiteY7" fmla="*/ 216114 h 232121"/>
                <a:gd name="connsiteX8" fmla="*/ 2381250 w 4238225"/>
                <a:gd name="connsiteY8" fmla="*/ 164086 h 232121"/>
                <a:gd name="connsiteX9" fmla="*/ 1856975 w 4238225"/>
                <a:gd name="connsiteY9" fmla="*/ 164086 h 232121"/>
                <a:gd name="connsiteX10" fmla="*/ 1788940 w 4238225"/>
                <a:gd name="connsiteY10" fmla="*/ 232121 h 232121"/>
                <a:gd name="connsiteX11" fmla="*/ 308162 w 4238225"/>
                <a:gd name="connsiteY11" fmla="*/ 232121 h 232121"/>
                <a:gd name="connsiteX12" fmla="*/ 240127 w 4238225"/>
                <a:gd name="connsiteY12" fmla="*/ 176092 h 23212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4238225" h="232121">
                  <a:moveTo>
                    <a:pt x="240127" y="176092"/>
                  </a:moveTo>
                  <a:lnTo>
                    <a:pt x="0" y="176092"/>
                  </a:lnTo>
                  <a:lnTo>
                    <a:pt x="0" y="0"/>
                  </a:lnTo>
                  <a:lnTo>
                    <a:pt x="4238225" y="0"/>
                  </a:lnTo>
                  <a:lnTo>
                    <a:pt x="4238225" y="160084"/>
                  </a:lnTo>
                  <a:lnTo>
                    <a:pt x="3982091" y="160084"/>
                  </a:lnTo>
                  <a:lnTo>
                    <a:pt x="3926061" y="216114"/>
                  </a:lnTo>
                  <a:lnTo>
                    <a:pt x="2433278" y="216114"/>
                  </a:lnTo>
                  <a:lnTo>
                    <a:pt x="2381250" y="164086"/>
                  </a:lnTo>
                  <a:lnTo>
                    <a:pt x="1856975" y="164086"/>
                  </a:lnTo>
                  <a:lnTo>
                    <a:pt x="1788940" y="232121"/>
                  </a:lnTo>
                  <a:lnTo>
                    <a:pt x="308162" y="232121"/>
                  </a:lnTo>
                  <a:lnTo>
                    <a:pt x="240127" y="176092"/>
                  </a:lnTo>
                  <a:close/>
                </a:path>
              </a:pathLst>
            </a:custGeom>
            <a:solidFill>
              <a:schemeClr val="accent6">
                <a:lumMod val="40000"/>
                <a:lumOff val="6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508" name="그룹 30">
              <a:extLst>
                <a:ext uri="{FF2B5EF4-FFF2-40B4-BE49-F238E27FC236}">
                  <a16:creationId xmlns:a16="http://schemas.microsoft.com/office/drawing/2014/main" id="{E1CAF0AD-85DC-454F-8689-3136BAAB2A66}"/>
                </a:ext>
              </a:extLst>
            </xdr:cNvPr>
            <xdr:cNvGrpSpPr/>
          </xdr:nvGrpSpPr>
          <xdr:grpSpPr>
            <a:xfrm>
              <a:off x="677934" y="140940085"/>
              <a:ext cx="1497953" cy="882038"/>
              <a:chOff x="4444381" y="313952"/>
              <a:chExt cx="1570114" cy="1069110"/>
            </a:xfrm>
          </xdr:grpSpPr>
          <xdr:grpSp>
            <xdr:nvGrpSpPr>
              <xdr:cNvPr id="516" name="그룹 7">
                <a:extLst>
                  <a:ext uri="{FF2B5EF4-FFF2-40B4-BE49-F238E27FC236}">
                    <a16:creationId xmlns:a16="http://schemas.microsoft.com/office/drawing/2014/main" id="{12E37635-1367-474D-8072-61CAABBE1ED7}"/>
                  </a:ext>
                </a:extLst>
              </xdr:cNvPr>
              <xdr:cNvGrpSpPr/>
            </xdr:nvGrpSpPr>
            <xdr:grpSpPr>
              <a:xfrm>
                <a:off x="4444381" y="315446"/>
                <a:ext cx="1421153" cy="1067616"/>
                <a:chOff x="2971800" y="381000"/>
                <a:chExt cx="1422339" cy="1061287"/>
              </a:xfrm>
            </xdr:grpSpPr>
            <xdr:cxnSp macro="">
              <xdr:nvCxnSpPr>
                <xdr:cNvPr id="518" name="직선 연결선 3">
                  <a:extLst>
                    <a:ext uri="{FF2B5EF4-FFF2-40B4-BE49-F238E27FC236}">
                      <a16:creationId xmlns:a16="http://schemas.microsoft.com/office/drawing/2014/main" id="{C2E3622A-3AB3-44CC-B928-BBA80E8A4114}"/>
                    </a:ext>
                  </a:extLst>
                </xdr:cNvPr>
                <xdr:cNvCxnSpPr/>
              </xdr:nvCxnSpPr>
              <xdr:spPr>
                <a:xfrm>
                  <a:off x="3207515" y="1442287"/>
                  <a:ext cx="1111112" cy="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9" name="직선 연결선 4">
                  <a:extLst>
                    <a:ext uri="{FF2B5EF4-FFF2-40B4-BE49-F238E27FC236}">
                      <a16:creationId xmlns:a16="http://schemas.microsoft.com/office/drawing/2014/main" id="{657D4ACC-C817-4781-AA95-257C07CBDD87}"/>
                    </a:ext>
                  </a:extLst>
                </xdr:cNvPr>
                <xdr:cNvCxnSpPr/>
              </xdr:nvCxnSpPr>
              <xdr:spPr>
                <a:xfrm flipH="1" flipV="1">
                  <a:off x="3121216" y="388272"/>
                  <a:ext cx="247294" cy="1050604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0" name="직선 연결선 5">
                  <a:extLst>
                    <a:ext uri="{FF2B5EF4-FFF2-40B4-BE49-F238E27FC236}">
                      <a16:creationId xmlns:a16="http://schemas.microsoft.com/office/drawing/2014/main" id="{2A355B4A-0612-4E00-B046-360ECC84AA6B}"/>
                    </a:ext>
                  </a:extLst>
                </xdr:cNvPr>
                <xdr:cNvCxnSpPr/>
              </xdr:nvCxnSpPr>
              <xdr:spPr>
                <a:xfrm flipV="1">
                  <a:off x="4166565" y="399805"/>
                  <a:ext cx="227574" cy="103615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1" name="직선 연결선 6">
                  <a:extLst>
                    <a:ext uri="{FF2B5EF4-FFF2-40B4-BE49-F238E27FC236}">
                      <a16:creationId xmlns:a16="http://schemas.microsoft.com/office/drawing/2014/main" id="{C10FF4CA-713C-414E-8DA9-09EAA960AD9C}"/>
                    </a:ext>
                  </a:extLst>
                </xdr:cNvPr>
                <xdr:cNvCxnSpPr/>
              </xdr:nvCxnSpPr>
              <xdr:spPr>
                <a:xfrm>
                  <a:off x="2971800" y="381000"/>
                  <a:ext cx="363653" cy="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517" name="직선 연결선 29">
                <a:extLst>
                  <a:ext uri="{FF2B5EF4-FFF2-40B4-BE49-F238E27FC236}">
                    <a16:creationId xmlns:a16="http://schemas.microsoft.com/office/drawing/2014/main" id="{C93570D1-C3B9-43FF-9F86-C1DF0D6BE514}"/>
                  </a:ext>
                </a:extLst>
              </xdr:cNvPr>
              <xdr:cNvCxnSpPr/>
            </xdr:nvCxnSpPr>
            <xdr:spPr>
              <a:xfrm>
                <a:off x="5651145" y="313952"/>
                <a:ext cx="363350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09" name="그룹 30">
              <a:extLst>
                <a:ext uri="{FF2B5EF4-FFF2-40B4-BE49-F238E27FC236}">
                  <a16:creationId xmlns:a16="http://schemas.microsoft.com/office/drawing/2014/main" id="{FF657CFA-5214-44FC-B1C1-0CA6398231F4}"/>
                </a:ext>
              </a:extLst>
            </xdr:cNvPr>
            <xdr:cNvGrpSpPr/>
          </xdr:nvGrpSpPr>
          <xdr:grpSpPr>
            <a:xfrm>
              <a:off x="2803992" y="140934082"/>
              <a:ext cx="1497953" cy="882038"/>
              <a:chOff x="4444381" y="313952"/>
              <a:chExt cx="1570114" cy="1069110"/>
            </a:xfrm>
          </xdr:grpSpPr>
          <xdr:grpSp>
            <xdr:nvGrpSpPr>
              <xdr:cNvPr id="510" name="그룹 7">
                <a:extLst>
                  <a:ext uri="{FF2B5EF4-FFF2-40B4-BE49-F238E27FC236}">
                    <a16:creationId xmlns:a16="http://schemas.microsoft.com/office/drawing/2014/main" id="{764CD638-4A2D-4685-8D25-BC19044BDEDE}"/>
                  </a:ext>
                </a:extLst>
              </xdr:cNvPr>
              <xdr:cNvGrpSpPr/>
            </xdr:nvGrpSpPr>
            <xdr:grpSpPr>
              <a:xfrm>
                <a:off x="4444381" y="315446"/>
                <a:ext cx="1421153" cy="1067616"/>
                <a:chOff x="2971800" y="381000"/>
                <a:chExt cx="1422339" cy="1061287"/>
              </a:xfrm>
            </xdr:grpSpPr>
            <xdr:cxnSp macro="">
              <xdr:nvCxnSpPr>
                <xdr:cNvPr id="512" name="직선 연결선 3">
                  <a:extLst>
                    <a:ext uri="{FF2B5EF4-FFF2-40B4-BE49-F238E27FC236}">
                      <a16:creationId xmlns:a16="http://schemas.microsoft.com/office/drawing/2014/main" id="{6490CA6F-9312-4BCA-8012-32FBAD5683C9}"/>
                    </a:ext>
                  </a:extLst>
                </xdr:cNvPr>
                <xdr:cNvCxnSpPr/>
              </xdr:nvCxnSpPr>
              <xdr:spPr>
                <a:xfrm>
                  <a:off x="3207515" y="1442287"/>
                  <a:ext cx="1111112" cy="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3" name="직선 연결선 4">
                  <a:extLst>
                    <a:ext uri="{FF2B5EF4-FFF2-40B4-BE49-F238E27FC236}">
                      <a16:creationId xmlns:a16="http://schemas.microsoft.com/office/drawing/2014/main" id="{23B60557-4C01-498E-9EE7-4D408B6A503F}"/>
                    </a:ext>
                  </a:extLst>
                </xdr:cNvPr>
                <xdr:cNvCxnSpPr/>
              </xdr:nvCxnSpPr>
              <xdr:spPr>
                <a:xfrm flipH="1" flipV="1">
                  <a:off x="3121216" y="388272"/>
                  <a:ext cx="247294" cy="1050604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4" name="직선 연결선 5">
                  <a:extLst>
                    <a:ext uri="{FF2B5EF4-FFF2-40B4-BE49-F238E27FC236}">
                      <a16:creationId xmlns:a16="http://schemas.microsoft.com/office/drawing/2014/main" id="{A63AE99E-C9DF-4F92-818E-0C2DB1633243}"/>
                    </a:ext>
                  </a:extLst>
                </xdr:cNvPr>
                <xdr:cNvCxnSpPr/>
              </xdr:nvCxnSpPr>
              <xdr:spPr>
                <a:xfrm flipV="1">
                  <a:off x="4166565" y="399805"/>
                  <a:ext cx="227574" cy="103615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5" name="직선 연결선 6">
                  <a:extLst>
                    <a:ext uri="{FF2B5EF4-FFF2-40B4-BE49-F238E27FC236}">
                      <a16:creationId xmlns:a16="http://schemas.microsoft.com/office/drawing/2014/main" id="{C10721C5-43C4-4C1B-A7A4-B58B2C22C87D}"/>
                    </a:ext>
                  </a:extLst>
                </xdr:cNvPr>
                <xdr:cNvCxnSpPr/>
              </xdr:nvCxnSpPr>
              <xdr:spPr>
                <a:xfrm>
                  <a:off x="2971800" y="381000"/>
                  <a:ext cx="363653" cy="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511" name="직선 연결선 29">
                <a:extLst>
                  <a:ext uri="{FF2B5EF4-FFF2-40B4-BE49-F238E27FC236}">
                    <a16:creationId xmlns:a16="http://schemas.microsoft.com/office/drawing/2014/main" id="{6C9CB894-69DB-48F9-8A31-539ACA64F385}"/>
                  </a:ext>
                </a:extLst>
              </xdr:cNvPr>
              <xdr:cNvCxnSpPr/>
            </xdr:nvCxnSpPr>
            <xdr:spPr>
              <a:xfrm>
                <a:off x="5651145" y="313952"/>
                <a:ext cx="363350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499" name="Straight Connector 498">
            <a:extLst>
              <a:ext uri="{FF2B5EF4-FFF2-40B4-BE49-F238E27FC236}">
                <a16:creationId xmlns:a16="http://schemas.microsoft.com/office/drawing/2014/main" id="{3A2B45BD-C8A7-4E0D-B349-682DDE91E2D6}"/>
              </a:ext>
            </a:extLst>
          </xdr:cNvPr>
          <xdr:cNvCxnSpPr/>
        </xdr:nvCxnSpPr>
        <xdr:spPr>
          <a:xfrm>
            <a:off x="1190626" y="136828980"/>
            <a:ext cx="0" cy="260367"/>
          </a:xfrm>
          <a:prstGeom prst="line">
            <a:avLst/>
          </a:prstGeom>
          <a:ln w="3175">
            <a:head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" name="Straight Connector 499">
            <a:extLst>
              <a:ext uri="{FF2B5EF4-FFF2-40B4-BE49-F238E27FC236}">
                <a16:creationId xmlns:a16="http://schemas.microsoft.com/office/drawing/2014/main" id="{6B11BF34-89E3-4055-B5CC-9A68DB064023}"/>
              </a:ext>
            </a:extLst>
          </xdr:cNvPr>
          <xdr:cNvCxnSpPr/>
        </xdr:nvCxnSpPr>
        <xdr:spPr>
          <a:xfrm>
            <a:off x="2046305" y="136826364"/>
            <a:ext cx="0" cy="278684"/>
          </a:xfrm>
          <a:prstGeom prst="line">
            <a:avLst/>
          </a:prstGeom>
          <a:ln w="3175">
            <a:head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" name="Straight Connector 500">
            <a:extLst>
              <a:ext uri="{FF2B5EF4-FFF2-40B4-BE49-F238E27FC236}">
                <a16:creationId xmlns:a16="http://schemas.microsoft.com/office/drawing/2014/main" id="{7EFCCACF-33C2-4DCD-82BE-8BF8E7ED4D61}"/>
              </a:ext>
            </a:extLst>
          </xdr:cNvPr>
          <xdr:cNvCxnSpPr/>
        </xdr:nvCxnSpPr>
        <xdr:spPr>
          <a:xfrm flipH="1">
            <a:off x="855680" y="136826363"/>
            <a:ext cx="1842199" cy="0"/>
          </a:xfrm>
          <a:prstGeom prst="line">
            <a:avLst/>
          </a:prstGeom>
          <a:ln w="31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" name="Straight Connector 501">
            <a:extLst>
              <a:ext uri="{FF2B5EF4-FFF2-40B4-BE49-F238E27FC236}">
                <a16:creationId xmlns:a16="http://schemas.microsoft.com/office/drawing/2014/main" id="{C48F9EAC-349E-4191-BCD0-CFCE42FEC889}"/>
              </a:ext>
            </a:extLst>
          </xdr:cNvPr>
          <xdr:cNvCxnSpPr/>
        </xdr:nvCxnSpPr>
        <xdr:spPr>
          <a:xfrm>
            <a:off x="2692644" y="136828980"/>
            <a:ext cx="0" cy="278684"/>
          </a:xfrm>
          <a:prstGeom prst="line">
            <a:avLst/>
          </a:prstGeom>
          <a:ln w="3175">
            <a:head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" name="Straight Connector 502">
            <a:extLst>
              <a:ext uri="{FF2B5EF4-FFF2-40B4-BE49-F238E27FC236}">
                <a16:creationId xmlns:a16="http://schemas.microsoft.com/office/drawing/2014/main" id="{436B8E2A-827C-4A34-B31A-C96699C780ED}"/>
              </a:ext>
            </a:extLst>
          </xdr:cNvPr>
          <xdr:cNvCxnSpPr/>
        </xdr:nvCxnSpPr>
        <xdr:spPr>
          <a:xfrm>
            <a:off x="868763" y="136828980"/>
            <a:ext cx="0" cy="260367"/>
          </a:xfrm>
          <a:prstGeom prst="line">
            <a:avLst/>
          </a:prstGeom>
          <a:ln w="3175">
            <a:head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4" name="TextBox 503">
            <a:extLst>
              <a:ext uri="{FF2B5EF4-FFF2-40B4-BE49-F238E27FC236}">
                <a16:creationId xmlns:a16="http://schemas.microsoft.com/office/drawing/2014/main" id="{8A2F36EC-1F46-42DA-8F1D-469F6AE5EAE4}"/>
              </a:ext>
            </a:extLst>
          </xdr:cNvPr>
          <xdr:cNvSpPr txBox="1"/>
        </xdr:nvSpPr>
        <xdr:spPr>
          <a:xfrm>
            <a:off x="909978" y="136658236"/>
            <a:ext cx="269082" cy="17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b</a:t>
            </a:r>
          </a:p>
        </xdr:txBody>
      </xdr:sp>
      <xdr:sp macro="" textlink="">
        <xdr:nvSpPr>
          <xdr:cNvPr id="505" name="TextBox 504">
            <a:extLst>
              <a:ext uri="{FF2B5EF4-FFF2-40B4-BE49-F238E27FC236}">
                <a16:creationId xmlns:a16="http://schemas.microsoft.com/office/drawing/2014/main" id="{A4641A61-94BF-432C-A5E6-62A9234D081F}"/>
              </a:ext>
            </a:extLst>
          </xdr:cNvPr>
          <xdr:cNvSpPr txBox="1"/>
        </xdr:nvSpPr>
        <xdr:spPr>
          <a:xfrm>
            <a:off x="1479777" y="136666740"/>
            <a:ext cx="269082" cy="17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w</a:t>
            </a:r>
          </a:p>
        </xdr:txBody>
      </xdr:sp>
      <xdr:sp macro="" textlink="">
        <xdr:nvSpPr>
          <xdr:cNvPr id="506" name="TextBox 505">
            <a:extLst>
              <a:ext uri="{FF2B5EF4-FFF2-40B4-BE49-F238E27FC236}">
                <a16:creationId xmlns:a16="http://schemas.microsoft.com/office/drawing/2014/main" id="{BFF3E65D-4865-4701-8DFA-81AE8F9F5D21}"/>
              </a:ext>
            </a:extLst>
          </xdr:cNvPr>
          <xdr:cNvSpPr txBox="1"/>
        </xdr:nvSpPr>
        <xdr:spPr>
          <a:xfrm>
            <a:off x="2270691" y="136666741"/>
            <a:ext cx="269082" cy="17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a</a:t>
            </a:r>
          </a:p>
        </xdr:txBody>
      </xdr:sp>
    </xdr:grpSp>
    <xdr:clientData/>
  </xdr:twoCellAnchor>
  <xdr:twoCellAnchor>
    <xdr:from>
      <xdr:col>9</xdr:col>
      <xdr:colOff>97588</xdr:colOff>
      <xdr:row>1463</xdr:row>
      <xdr:rowOff>0</xdr:rowOff>
    </xdr:from>
    <xdr:to>
      <xdr:col>13</xdr:col>
      <xdr:colOff>361626</xdr:colOff>
      <xdr:row>1468</xdr:row>
      <xdr:rowOff>133046</xdr:rowOff>
    </xdr:to>
    <xdr:grpSp>
      <xdr:nvGrpSpPr>
        <xdr:cNvPr id="447" name="그룹 59">
          <a:extLst>
            <a:ext uri="{FF2B5EF4-FFF2-40B4-BE49-F238E27FC236}">
              <a16:creationId xmlns:a16="http://schemas.microsoft.com/office/drawing/2014/main" id="{2B0B11F7-9F8A-4477-8D6C-6A66157C21E1}"/>
            </a:ext>
          </a:extLst>
        </xdr:cNvPr>
        <xdr:cNvGrpSpPr/>
      </xdr:nvGrpSpPr>
      <xdr:grpSpPr>
        <a:xfrm>
          <a:off x="4040938" y="95693766"/>
          <a:ext cx="2016638" cy="1098980"/>
          <a:chOff x="538689" y="21665334"/>
          <a:chExt cx="2549636" cy="1147041"/>
        </a:xfrm>
      </xdr:grpSpPr>
      <xdr:grpSp>
        <xdr:nvGrpSpPr>
          <xdr:cNvPr id="448" name="그룹 17">
            <a:extLst>
              <a:ext uri="{FF2B5EF4-FFF2-40B4-BE49-F238E27FC236}">
                <a16:creationId xmlns:a16="http://schemas.microsoft.com/office/drawing/2014/main" id="{FEBD22CA-714C-4F3B-986C-56B273355FFC}"/>
              </a:ext>
            </a:extLst>
          </xdr:cNvPr>
          <xdr:cNvGrpSpPr/>
        </xdr:nvGrpSpPr>
        <xdr:grpSpPr>
          <a:xfrm>
            <a:off x="538689" y="21665334"/>
            <a:ext cx="2549636" cy="1147041"/>
            <a:chOff x="7369117" y="21360533"/>
            <a:chExt cx="2554649" cy="1191207"/>
          </a:xfrm>
        </xdr:grpSpPr>
        <xdr:grpSp>
          <xdr:nvGrpSpPr>
            <xdr:cNvPr id="450" name="그룹 112">
              <a:extLst>
                <a:ext uri="{FF2B5EF4-FFF2-40B4-BE49-F238E27FC236}">
                  <a16:creationId xmlns:a16="http://schemas.microsoft.com/office/drawing/2014/main" id="{6F309D3B-040C-446A-B945-BF6F00DB2628}"/>
                </a:ext>
              </a:extLst>
            </xdr:cNvPr>
            <xdr:cNvGrpSpPr/>
          </xdr:nvGrpSpPr>
          <xdr:grpSpPr>
            <a:xfrm>
              <a:off x="7369117" y="21360533"/>
              <a:ext cx="2554649" cy="1191207"/>
              <a:chOff x="3519929" y="6330476"/>
              <a:chExt cx="2552996" cy="1317327"/>
            </a:xfrm>
          </xdr:grpSpPr>
          <xdr:grpSp>
            <xdr:nvGrpSpPr>
              <xdr:cNvPr id="491" name="그룹 176">
                <a:extLst>
                  <a:ext uri="{FF2B5EF4-FFF2-40B4-BE49-F238E27FC236}">
                    <a16:creationId xmlns:a16="http://schemas.microsoft.com/office/drawing/2014/main" id="{4F77C7B3-B0BD-4641-85F4-65EB5DA16E41}"/>
                  </a:ext>
                </a:extLst>
              </xdr:cNvPr>
              <xdr:cNvGrpSpPr/>
            </xdr:nvGrpSpPr>
            <xdr:grpSpPr>
              <a:xfrm>
                <a:off x="3519929" y="6330476"/>
                <a:ext cx="2552996" cy="1317327"/>
                <a:chOff x="7186610" y="1304919"/>
                <a:chExt cx="2551899" cy="1318468"/>
              </a:xfrm>
            </xdr:grpSpPr>
            <xdr:sp macro="" textlink="">
              <xdr:nvSpPr>
                <xdr:cNvPr id="525" name="자유형 179">
                  <a:extLst>
                    <a:ext uri="{FF2B5EF4-FFF2-40B4-BE49-F238E27FC236}">
                      <a16:creationId xmlns:a16="http://schemas.microsoft.com/office/drawing/2014/main" id="{56FCC243-B2E0-4725-9BC8-F883AE895D6A}"/>
                    </a:ext>
                  </a:extLst>
                </xdr:cNvPr>
                <xdr:cNvSpPr/>
              </xdr:nvSpPr>
              <xdr:spPr>
                <a:xfrm>
                  <a:off x="7186610" y="1304919"/>
                  <a:ext cx="2551899" cy="281934"/>
                </a:xfrm>
                <a:custGeom>
                  <a:avLst/>
                  <a:gdLst>
                    <a:gd name="connsiteX0" fmla="*/ 270761 w 2267627"/>
                    <a:gd name="connsiteY0" fmla="*/ 169226 h 234499"/>
                    <a:gd name="connsiteX1" fmla="*/ 0 w 2267627"/>
                    <a:gd name="connsiteY1" fmla="*/ 169226 h 234499"/>
                    <a:gd name="connsiteX2" fmla="*/ 0 w 2267627"/>
                    <a:gd name="connsiteY2" fmla="*/ 0 h 234499"/>
                    <a:gd name="connsiteX3" fmla="*/ 2267627 w 2267627"/>
                    <a:gd name="connsiteY3" fmla="*/ 0 h 234499"/>
                    <a:gd name="connsiteX4" fmla="*/ 2267627 w 2267627"/>
                    <a:gd name="connsiteY4" fmla="*/ 164391 h 234499"/>
                    <a:gd name="connsiteX5" fmla="*/ 1996865 w 2267627"/>
                    <a:gd name="connsiteY5" fmla="*/ 164391 h 234499"/>
                    <a:gd name="connsiteX6" fmla="*/ 1926757 w 2267627"/>
                    <a:gd name="connsiteY6" fmla="*/ 234499 h 234499"/>
                    <a:gd name="connsiteX7" fmla="*/ 336034 w 2267627"/>
                    <a:gd name="connsiteY7" fmla="*/ 234499 h 234499"/>
                    <a:gd name="connsiteX8" fmla="*/ 270761 w 2267627"/>
                    <a:gd name="connsiteY8" fmla="*/ 169226 h 23449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</a:cxnLst>
                  <a:rect l="l" t="t" r="r" b="b"/>
                  <a:pathLst>
                    <a:path w="2267627" h="234499">
                      <a:moveTo>
                        <a:pt x="270761" y="169226"/>
                      </a:moveTo>
                      <a:lnTo>
                        <a:pt x="0" y="169226"/>
                      </a:lnTo>
                      <a:lnTo>
                        <a:pt x="0" y="0"/>
                      </a:lnTo>
                      <a:lnTo>
                        <a:pt x="2267627" y="0"/>
                      </a:lnTo>
                      <a:lnTo>
                        <a:pt x="2267627" y="164391"/>
                      </a:lnTo>
                      <a:lnTo>
                        <a:pt x="1996865" y="164391"/>
                      </a:lnTo>
                      <a:lnTo>
                        <a:pt x="1926757" y="234499"/>
                      </a:lnTo>
                      <a:lnTo>
                        <a:pt x="336034" y="234499"/>
                      </a:lnTo>
                      <a:lnTo>
                        <a:pt x="270761" y="169226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6350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526" name="그룹 180">
                  <a:extLst>
                    <a:ext uri="{FF2B5EF4-FFF2-40B4-BE49-F238E27FC236}">
                      <a16:creationId xmlns:a16="http://schemas.microsoft.com/office/drawing/2014/main" id="{885C6E84-1CCC-40BE-9252-F231FB8C910F}"/>
                    </a:ext>
                  </a:extLst>
                </xdr:cNvPr>
                <xdr:cNvGrpSpPr/>
              </xdr:nvGrpSpPr>
              <xdr:grpSpPr>
                <a:xfrm>
                  <a:off x="7556448" y="1560615"/>
                  <a:ext cx="1806431" cy="1062772"/>
                  <a:chOff x="4444379" y="313952"/>
                  <a:chExt cx="1570116" cy="1069110"/>
                </a:xfrm>
              </xdr:grpSpPr>
              <xdr:grpSp>
                <xdr:nvGrpSpPr>
                  <xdr:cNvPr id="527" name="그룹 181">
                    <a:extLst>
                      <a:ext uri="{FF2B5EF4-FFF2-40B4-BE49-F238E27FC236}">
                        <a16:creationId xmlns:a16="http://schemas.microsoft.com/office/drawing/2014/main" id="{C71B6F23-0A7A-46E7-80F8-F2C0D925EED6}"/>
                      </a:ext>
                    </a:extLst>
                  </xdr:cNvPr>
                  <xdr:cNvGrpSpPr/>
                </xdr:nvGrpSpPr>
                <xdr:grpSpPr>
                  <a:xfrm>
                    <a:off x="4444379" y="315446"/>
                    <a:ext cx="1421153" cy="1067616"/>
                    <a:chOff x="2971800" y="381000"/>
                    <a:chExt cx="1422339" cy="1061287"/>
                  </a:xfrm>
                </xdr:grpSpPr>
                <xdr:cxnSp macro="">
                  <xdr:nvCxnSpPr>
                    <xdr:cNvPr id="529" name="직선 연결선 183">
                      <a:extLst>
                        <a:ext uri="{FF2B5EF4-FFF2-40B4-BE49-F238E27FC236}">
                          <a16:creationId xmlns:a16="http://schemas.microsoft.com/office/drawing/2014/main" id="{D84B0255-AAF9-4D46-8603-6790A1D1C165}"/>
                        </a:ext>
                      </a:extLst>
                    </xdr:cNvPr>
                    <xdr:cNvCxnSpPr/>
                  </xdr:nvCxnSpPr>
                  <xdr:spPr>
                    <a:xfrm>
                      <a:off x="3207515" y="1442287"/>
                      <a:ext cx="1111112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30" name="직선 연결선 184">
                      <a:extLst>
                        <a:ext uri="{FF2B5EF4-FFF2-40B4-BE49-F238E27FC236}">
                          <a16:creationId xmlns:a16="http://schemas.microsoft.com/office/drawing/2014/main" id="{D1B8CFF7-3476-471D-9C84-8C909A0FA08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3121216" y="388272"/>
                      <a:ext cx="247294" cy="1050604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31" name="직선 연결선 185">
                      <a:extLst>
                        <a:ext uri="{FF2B5EF4-FFF2-40B4-BE49-F238E27FC236}">
                          <a16:creationId xmlns:a16="http://schemas.microsoft.com/office/drawing/2014/main" id="{92D2C0E7-5148-4EEB-8A84-9B4579B98221}"/>
                        </a:ext>
                      </a:extLst>
                    </xdr:cNvPr>
                    <xdr:cNvCxnSpPr/>
                  </xdr:nvCxnSpPr>
                  <xdr:spPr>
                    <a:xfrm flipV="1">
                      <a:off x="4166565" y="399805"/>
                      <a:ext cx="227574" cy="103615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32" name="직선 연결선 186">
                      <a:extLst>
                        <a:ext uri="{FF2B5EF4-FFF2-40B4-BE49-F238E27FC236}">
                          <a16:creationId xmlns:a16="http://schemas.microsoft.com/office/drawing/2014/main" id="{FB36800E-4444-4C61-BA71-5C3BFB224F97}"/>
                        </a:ext>
                      </a:extLst>
                    </xdr:cNvPr>
                    <xdr:cNvCxnSpPr/>
                  </xdr:nvCxnSpPr>
                  <xdr:spPr>
                    <a:xfrm>
                      <a:off x="2971800" y="381000"/>
                      <a:ext cx="363653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528" name="직선 연결선 182">
                    <a:extLst>
                      <a:ext uri="{FF2B5EF4-FFF2-40B4-BE49-F238E27FC236}">
                        <a16:creationId xmlns:a16="http://schemas.microsoft.com/office/drawing/2014/main" id="{46156668-9BFE-45D5-A3B8-8668B9DF0CE2}"/>
                      </a:ext>
                    </a:extLst>
                  </xdr:cNvPr>
                  <xdr:cNvCxnSpPr/>
                </xdr:nvCxnSpPr>
                <xdr:spPr>
                  <a:xfrm>
                    <a:off x="5651145" y="313952"/>
                    <a:ext cx="363350" cy="0"/>
                  </a:xfrm>
                  <a:prstGeom prst="line">
                    <a:avLst/>
                  </a:prstGeom>
                  <a:ln w="57150"/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492" name="그룹 122">
                <a:extLst>
                  <a:ext uri="{FF2B5EF4-FFF2-40B4-BE49-F238E27FC236}">
                    <a16:creationId xmlns:a16="http://schemas.microsoft.com/office/drawing/2014/main" id="{1277776F-44D9-4025-AE6F-9B79682752F4}"/>
                  </a:ext>
                </a:extLst>
              </xdr:cNvPr>
              <xdr:cNvGrpSpPr/>
            </xdr:nvGrpSpPr>
            <xdr:grpSpPr>
              <a:xfrm>
                <a:off x="4843434" y="6654079"/>
                <a:ext cx="848704" cy="797165"/>
                <a:chOff x="4843434" y="6654079"/>
                <a:chExt cx="848704" cy="797165"/>
              </a:xfrm>
            </xdr:grpSpPr>
            <xdr:sp macro="" textlink="">
              <xdr:nvSpPr>
                <xdr:cNvPr id="493" name="TextBox 492">
                  <a:extLst>
                    <a:ext uri="{FF2B5EF4-FFF2-40B4-BE49-F238E27FC236}">
                      <a16:creationId xmlns:a16="http://schemas.microsoft.com/office/drawing/2014/main" id="{54AAC91B-7E5A-4A7D-87B3-ABB504FC7FCA}"/>
                    </a:ext>
                  </a:extLst>
                </xdr:cNvPr>
                <xdr:cNvSpPr txBox="1"/>
              </xdr:nvSpPr>
              <xdr:spPr>
                <a:xfrm>
                  <a:off x="4843434" y="6654079"/>
                  <a:ext cx="848704" cy="19911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   V</a:t>
                  </a:r>
                  <a:r>
                    <a:rPr lang="en-US" altLang="ko-KR" sz="600"/>
                    <a:t>u</a:t>
                  </a:r>
                  <a:r>
                    <a:rPr lang="en-US" altLang="ko-KR" sz="900"/>
                    <a:t>   V</a:t>
                  </a:r>
                  <a:r>
                    <a:rPr lang="en-US" altLang="ko-KR" sz="600"/>
                    <a:t>ui</a:t>
                  </a:r>
                  <a:endParaRPr lang="en-US" sz="900"/>
                </a:p>
              </xdr:txBody>
            </xdr:sp>
            <xdr:grpSp>
              <xdr:nvGrpSpPr>
                <xdr:cNvPr id="494" name="그룹 135">
                  <a:extLst>
                    <a:ext uri="{FF2B5EF4-FFF2-40B4-BE49-F238E27FC236}">
                      <a16:creationId xmlns:a16="http://schemas.microsoft.com/office/drawing/2014/main" id="{71B807CE-220D-4562-ADE4-DB15949A2BFF}"/>
                    </a:ext>
                  </a:extLst>
                </xdr:cNvPr>
                <xdr:cNvGrpSpPr/>
              </xdr:nvGrpSpPr>
              <xdr:grpSpPr>
                <a:xfrm>
                  <a:off x="4961553" y="6829685"/>
                  <a:ext cx="362390" cy="621559"/>
                  <a:chOff x="4749622" y="6834448"/>
                  <a:chExt cx="362390" cy="621559"/>
                </a:xfrm>
              </xdr:grpSpPr>
              <xdr:cxnSp macro="">
                <xdr:nvCxnSpPr>
                  <xdr:cNvPr id="495" name="직선 화살표 연결선 153">
                    <a:extLst>
                      <a:ext uri="{FF2B5EF4-FFF2-40B4-BE49-F238E27FC236}">
                        <a16:creationId xmlns:a16="http://schemas.microsoft.com/office/drawing/2014/main" id="{44EBD9A7-7A43-49C6-A9FB-27425C7AD2EB}"/>
                      </a:ext>
                    </a:extLst>
                  </xdr:cNvPr>
                  <xdr:cNvCxnSpPr/>
                </xdr:nvCxnSpPr>
                <xdr:spPr>
                  <a:xfrm flipH="1">
                    <a:off x="4939515" y="6854644"/>
                    <a:ext cx="166447" cy="601363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96" name="직선 화살표 연결선 154">
                    <a:extLst>
                      <a:ext uri="{FF2B5EF4-FFF2-40B4-BE49-F238E27FC236}">
                        <a16:creationId xmlns:a16="http://schemas.microsoft.com/office/drawing/2014/main" id="{40366F6F-BD61-4BED-A193-B27C0AA5FB1F}"/>
                      </a:ext>
                    </a:extLst>
                  </xdr:cNvPr>
                  <xdr:cNvCxnSpPr/>
                </xdr:nvCxnSpPr>
                <xdr:spPr>
                  <a:xfrm>
                    <a:off x="4755902" y="7451596"/>
                    <a:ext cx="180646" cy="0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22" name="직선 연결선 155">
                    <a:extLst>
                      <a:ext uri="{FF2B5EF4-FFF2-40B4-BE49-F238E27FC236}">
                        <a16:creationId xmlns:a16="http://schemas.microsoft.com/office/drawing/2014/main" id="{60FAAF7A-86A6-49A3-9EE2-C0FF0BF017D9}"/>
                      </a:ext>
                    </a:extLst>
                  </xdr:cNvPr>
                  <xdr:cNvCxnSpPr/>
                </xdr:nvCxnSpPr>
                <xdr:spPr>
                  <a:xfrm>
                    <a:off x="4930487" y="6843712"/>
                    <a:ext cx="181525" cy="0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23" name="직선 연결선 157">
                    <a:extLst>
                      <a:ext uri="{FF2B5EF4-FFF2-40B4-BE49-F238E27FC236}">
                        <a16:creationId xmlns:a16="http://schemas.microsoft.com/office/drawing/2014/main" id="{6BD3985E-11E9-466F-B345-94ABB4C3CC77}"/>
                      </a:ext>
                    </a:extLst>
                  </xdr:cNvPr>
                  <xdr:cNvCxnSpPr/>
                </xdr:nvCxnSpPr>
                <xdr:spPr>
                  <a:xfrm>
                    <a:off x="4933969" y="6848927"/>
                    <a:ext cx="0" cy="535637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24" name="직선 연결선 159">
                    <a:extLst>
                      <a:ext uri="{FF2B5EF4-FFF2-40B4-BE49-F238E27FC236}">
                        <a16:creationId xmlns:a16="http://schemas.microsoft.com/office/drawing/2014/main" id="{C8C448F5-C93D-4101-84B7-6A837E84CC0A}"/>
                      </a:ext>
                    </a:extLst>
                  </xdr:cNvPr>
                  <xdr:cNvCxnSpPr/>
                </xdr:nvCxnSpPr>
                <xdr:spPr>
                  <a:xfrm flipV="1">
                    <a:off x="4749622" y="6834448"/>
                    <a:ext cx="186727" cy="621214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</xdr:grpSp>
        <xdr:grpSp>
          <xdr:nvGrpSpPr>
            <xdr:cNvPr id="487" name="그룹 16">
              <a:extLst>
                <a:ext uri="{FF2B5EF4-FFF2-40B4-BE49-F238E27FC236}">
                  <a16:creationId xmlns:a16="http://schemas.microsoft.com/office/drawing/2014/main" id="{70FF301F-91F9-41D1-B1AA-32AE45A6E376}"/>
                </a:ext>
              </a:extLst>
            </xdr:cNvPr>
            <xdr:cNvGrpSpPr/>
          </xdr:nvGrpSpPr>
          <xdr:grpSpPr>
            <a:xfrm>
              <a:off x="8039101" y="21978937"/>
              <a:ext cx="257411" cy="542926"/>
              <a:chOff x="8039101" y="21978937"/>
              <a:chExt cx="257411" cy="542926"/>
            </a:xfrm>
          </xdr:grpSpPr>
          <xdr:cxnSp macro="">
            <xdr:nvCxnSpPr>
              <xdr:cNvPr id="488" name="직선 연결선 8">
                <a:extLst>
                  <a:ext uri="{FF2B5EF4-FFF2-40B4-BE49-F238E27FC236}">
                    <a16:creationId xmlns:a16="http://schemas.microsoft.com/office/drawing/2014/main" id="{B4399B40-6B77-4C2C-B0B3-899EFD5CA005}"/>
                  </a:ext>
                </a:extLst>
              </xdr:cNvPr>
              <xdr:cNvCxnSpPr/>
            </xdr:nvCxnSpPr>
            <xdr:spPr>
              <a:xfrm flipV="1">
                <a:off x="8215313" y="22052756"/>
                <a:ext cx="0" cy="469107"/>
              </a:xfrm>
              <a:prstGeom prst="line">
                <a:avLst/>
              </a:prstGeom>
              <a:ln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89" name="TextBox 488">
                <a:extLst>
                  <a:ext uri="{FF2B5EF4-FFF2-40B4-BE49-F238E27FC236}">
                    <a16:creationId xmlns:a16="http://schemas.microsoft.com/office/drawing/2014/main" id="{5CA27E56-4111-490B-8577-F24C6308A90A}"/>
                  </a:ext>
                </a:extLst>
              </xdr:cNvPr>
              <xdr:cNvSpPr txBox="1"/>
            </xdr:nvSpPr>
            <xdr:spPr>
              <a:xfrm>
                <a:off x="8039101" y="21978937"/>
                <a:ext cx="214312" cy="19646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l-GR" altLang="ko-KR" sz="900">
                    <a:ea typeface="맑은 고딕" panose="020B0503020000020004" pitchFamily="50" charset="-127"/>
                    <a:sym typeface="Symbol"/>
                  </a:rPr>
                  <a:t>θ</a:t>
                </a:r>
                <a:endParaRPr lang="en-US" sz="900"/>
              </a:p>
            </xdr:txBody>
          </xdr:sp>
          <xdr:sp macro="" textlink="">
            <xdr:nvSpPr>
              <xdr:cNvPr id="490" name="원호 13">
                <a:extLst>
                  <a:ext uri="{FF2B5EF4-FFF2-40B4-BE49-F238E27FC236}">
                    <a16:creationId xmlns:a16="http://schemas.microsoft.com/office/drawing/2014/main" id="{DF51E158-7E35-428A-A670-DE90C29AC2DE}"/>
                  </a:ext>
                </a:extLst>
              </xdr:cNvPr>
              <xdr:cNvSpPr/>
            </xdr:nvSpPr>
            <xdr:spPr>
              <a:xfrm rot="18062625">
                <a:off x="8115300" y="22140387"/>
                <a:ext cx="164306" cy="198119"/>
              </a:xfrm>
              <a:prstGeom prst="arc">
                <a:avLst>
                  <a:gd name="adj1" fmla="val 16200000"/>
                  <a:gd name="adj2" fmla="val 20386157"/>
                </a:avLst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cxnSp macro="">
        <xdr:nvCxnSpPr>
          <xdr:cNvPr id="449" name="직선 화살표 연결선 56">
            <a:extLst>
              <a:ext uri="{FF2B5EF4-FFF2-40B4-BE49-F238E27FC236}">
                <a16:creationId xmlns:a16="http://schemas.microsoft.com/office/drawing/2014/main" id="{76CBDD74-F1A1-4C2C-ADD6-F7A5E105D90A}"/>
              </a:ext>
            </a:extLst>
          </xdr:cNvPr>
          <xdr:cNvCxnSpPr/>
        </xdr:nvCxnSpPr>
        <xdr:spPr>
          <a:xfrm>
            <a:off x="2165684" y="22112360"/>
            <a:ext cx="0" cy="527736"/>
          </a:xfrm>
          <a:prstGeom prst="straightConnector1">
            <a:avLst/>
          </a:prstGeom>
          <a:ln w="19050">
            <a:solidFill>
              <a:srgbClr val="FF0000"/>
            </a:solidFill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295274</xdr:colOff>
      <xdr:row>777</xdr:row>
      <xdr:rowOff>0</xdr:rowOff>
    </xdr:from>
    <xdr:to>
      <xdr:col>11</xdr:col>
      <xdr:colOff>152400</xdr:colOff>
      <xdr:row>796</xdr:row>
      <xdr:rowOff>180975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798E61F4-A07D-4A4D-BF6B-920A6C70845C}"/>
            </a:ext>
          </a:extLst>
        </xdr:cNvPr>
        <xdr:cNvGrpSpPr/>
      </xdr:nvGrpSpPr>
      <xdr:grpSpPr>
        <a:xfrm>
          <a:off x="733424" y="79305151"/>
          <a:ext cx="4238626" cy="3762374"/>
          <a:chOff x="533399" y="79228951"/>
          <a:chExt cx="4429126" cy="3762374"/>
        </a:xfrm>
      </xdr:grpSpPr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EE9D2825-815D-4D01-9EF6-0A4698923754}"/>
              </a:ext>
            </a:extLst>
          </xdr:cNvPr>
          <xdr:cNvGrpSpPr/>
        </xdr:nvGrpSpPr>
        <xdr:grpSpPr>
          <a:xfrm>
            <a:off x="1781175" y="79705200"/>
            <a:ext cx="590550" cy="428625"/>
            <a:chOff x="1781175" y="79705200"/>
            <a:chExt cx="590550" cy="428625"/>
          </a:xfrm>
        </xdr:grpSpPr>
        <xdr:cxnSp macro="">
          <xdr:nvCxnSpPr>
            <xdr:cNvPr id="15" name="Straight Connector 14">
              <a:extLst>
                <a:ext uri="{FF2B5EF4-FFF2-40B4-BE49-F238E27FC236}">
                  <a16:creationId xmlns:a16="http://schemas.microsoft.com/office/drawing/2014/main" id="{1AA5EC43-8306-498D-B001-5ADB40C34900}"/>
                </a:ext>
              </a:extLst>
            </xdr:cNvPr>
            <xdr:cNvCxnSpPr/>
          </xdr:nvCxnSpPr>
          <xdr:spPr>
            <a:xfrm>
              <a:off x="1809750" y="79705200"/>
              <a:ext cx="0" cy="428625"/>
            </a:xfrm>
            <a:prstGeom prst="line">
              <a:avLst/>
            </a:prstGeom>
            <a:ln w="12700">
              <a:tailEnd type="stealth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43" name="TextBox 542">
              <a:extLst>
                <a:ext uri="{FF2B5EF4-FFF2-40B4-BE49-F238E27FC236}">
                  <a16:creationId xmlns:a16="http://schemas.microsoft.com/office/drawing/2014/main" id="{EA95AA87-C9F3-4497-9643-6103EF5DABB3}"/>
                </a:ext>
              </a:extLst>
            </xdr:cNvPr>
            <xdr:cNvSpPr txBox="1"/>
          </xdr:nvSpPr>
          <xdr:spPr>
            <a:xfrm>
              <a:off x="1781175" y="79752825"/>
              <a:ext cx="590550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Yes</a:t>
              </a:r>
            </a:p>
          </xdr:txBody>
        </xdr:sp>
      </xdr:grpSp>
      <xdr:grpSp>
        <xdr:nvGrpSpPr>
          <xdr:cNvPr id="548" name="Group 547">
            <a:extLst>
              <a:ext uri="{FF2B5EF4-FFF2-40B4-BE49-F238E27FC236}">
                <a16:creationId xmlns:a16="http://schemas.microsoft.com/office/drawing/2014/main" id="{6205EBC1-CB26-4BD7-AB2C-4B3D3F7B27A8}"/>
              </a:ext>
            </a:extLst>
          </xdr:cNvPr>
          <xdr:cNvGrpSpPr/>
        </xdr:nvGrpSpPr>
        <xdr:grpSpPr>
          <a:xfrm>
            <a:off x="1781175" y="80619600"/>
            <a:ext cx="590550" cy="428625"/>
            <a:chOff x="1781175" y="79705200"/>
            <a:chExt cx="590550" cy="428625"/>
          </a:xfrm>
        </xdr:grpSpPr>
        <xdr:cxnSp macro="">
          <xdr:nvCxnSpPr>
            <xdr:cNvPr id="549" name="Straight Connector 548">
              <a:extLst>
                <a:ext uri="{FF2B5EF4-FFF2-40B4-BE49-F238E27FC236}">
                  <a16:creationId xmlns:a16="http://schemas.microsoft.com/office/drawing/2014/main" id="{80723427-672F-44A5-9D09-FD5C22F269B8}"/>
                </a:ext>
              </a:extLst>
            </xdr:cNvPr>
            <xdr:cNvCxnSpPr/>
          </xdr:nvCxnSpPr>
          <xdr:spPr>
            <a:xfrm>
              <a:off x="1809750" y="79705200"/>
              <a:ext cx="0" cy="428625"/>
            </a:xfrm>
            <a:prstGeom prst="line">
              <a:avLst/>
            </a:prstGeom>
            <a:ln w="12700">
              <a:tailEnd type="stealth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50" name="TextBox 549">
              <a:extLst>
                <a:ext uri="{FF2B5EF4-FFF2-40B4-BE49-F238E27FC236}">
                  <a16:creationId xmlns:a16="http://schemas.microsoft.com/office/drawing/2014/main" id="{6CEAC439-640F-4A45-9606-223EDD1CF728}"/>
                </a:ext>
              </a:extLst>
            </xdr:cNvPr>
            <xdr:cNvSpPr txBox="1"/>
          </xdr:nvSpPr>
          <xdr:spPr>
            <a:xfrm>
              <a:off x="1781175" y="79752825"/>
              <a:ext cx="590550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Yes</a:t>
              </a:r>
            </a:p>
          </xdr:txBody>
        </xdr:sp>
      </xdr:grpSp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E80E739A-2D27-41CD-AB5B-16E9E27D4EA4}"/>
              </a:ext>
            </a:extLst>
          </xdr:cNvPr>
          <xdr:cNvGrpSpPr/>
        </xdr:nvGrpSpPr>
        <xdr:grpSpPr>
          <a:xfrm>
            <a:off x="533399" y="79228951"/>
            <a:ext cx="4429126" cy="3762374"/>
            <a:chOff x="533399" y="79228951"/>
            <a:chExt cx="4429126" cy="3762374"/>
          </a:xfrm>
        </xdr:grpSpPr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F529B27B-EFAE-459C-B405-70E77AE19649}"/>
                </a:ext>
              </a:extLst>
            </xdr:cNvPr>
            <xdr:cNvGrpSpPr/>
          </xdr:nvGrpSpPr>
          <xdr:grpSpPr>
            <a:xfrm>
              <a:off x="1181100" y="79228951"/>
              <a:ext cx="1285875" cy="475059"/>
              <a:chOff x="1181100" y="79228951"/>
              <a:chExt cx="1285875" cy="475059"/>
            </a:xfrm>
          </xdr:grpSpPr>
          <xdr:sp macro="" textlink="">
            <xdr:nvSpPr>
              <xdr:cNvPr id="2" name="Diamond 1">
                <a:extLst>
                  <a:ext uri="{FF2B5EF4-FFF2-40B4-BE49-F238E27FC236}">
                    <a16:creationId xmlns:a16="http://schemas.microsoft.com/office/drawing/2014/main" id="{976ADDBB-36E9-4587-ABBC-B422564E545B}"/>
                  </a:ext>
                </a:extLst>
              </xdr:cNvPr>
              <xdr:cNvSpPr/>
            </xdr:nvSpPr>
            <xdr:spPr>
              <a:xfrm>
                <a:off x="1181100" y="79228951"/>
                <a:ext cx="1266825" cy="475059"/>
              </a:xfrm>
              <a:prstGeom prst="diamond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36" name="TextBox 535">
                <a:extLst>
                  <a:ext uri="{FF2B5EF4-FFF2-40B4-BE49-F238E27FC236}">
                    <a16:creationId xmlns:a16="http://schemas.microsoft.com/office/drawing/2014/main" id="{0E9E6C82-C4E8-41AA-AC65-DBFB5C37D590}"/>
                  </a:ext>
                </a:extLst>
              </xdr:cNvPr>
              <xdr:cNvSpPr txBox="1"/>
            </xdr:nvSpPr>
            <xdr:spPr>
              <a:xfrm>
                <a:off x="1343025" y="79333725"/>
                <a:ext cx="112395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Positive</a:t>
                </a:r>
                <a:r>
                  <a:rPr lang="en-US" sz="900" baseline="0"/>
                  <a:t> moment</a:t>
                </a:r>
                <a:endParaRPr lang="en-US" sz="900"/>
              </a:p>
            </xdr:txBody>
          </xdr:sp>
        </xdr:grpSp>
        <xdr:grpSp>
          <xdr:nvGrpSpPr>
            <xdr:cNvPr id="9" name="Group 8">
              <a:extLst>
                <a:ext uri="{FF2B5EF4-FFF2-40B4-BE49-F238E27FC236}">
                  <a16:creationId xmlns:a16="http://schemas.microsoft.com/office/drawing/2014/main" id="{575CA34B-4AA2-439B-851C-792794694DE5}"/>
                </a:ext>
              </a:extLst>
            </xdr:cNvPr>
            <xdr:cNvGrpSpPr/>
          </xdr:nvGrpSpPr>
          <xdr:grpSpPr>
            <a:xfrm>
              <a:off x="3743325" y="79267050"/>
              <a:ext cx="1219200" cy="390525"/>
              <a:chOff x="3695700" y="79295625"/>
              <a:chExt cx="1219200" cy="390525"/>
            </a:xfrm>
          </xdr:grpSpPr>
          <xdr:sp macro="" textlink="">
            <xdr:nvSpPr>
              <xdr:cNvPr id="4" name="Rectangle: Rounded Corners 3">
                <a:extLst>
                  <a:ext uri="{FF2B5EF4-FFF2-40B4-BE49-F238E27FC236}">
                    <a16:creationId xmlns:a16="http://schemas.microsoft.com/office/drawing/2014/main" id="{1CD7AA14-CD23-4136-A69F-82837434028C}"/>
                  </a:ext>
                </a:extLst>
              </xdr:cNvPr>
              <xdr:cNvSpPr/>
            </xdr:nvSpPr>
            <xdr:spPr>
              <a:xfrm>
                <a:off x="3695700" y="79295625"/>
                <a:ext cx="1219200" cy="390525"/>
              </a:xfrm>
              <a:prstGeom prst="round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38" name="TextBox 537">
                <a:extLst>
                  <a:ext uri="{FF2B5EF4-FFF2-40B4-BE49-F238E27FC236}">
                    <a16:creationId xmlns:a16="http://schemas.microsoft.com/office/drawing/2014/main" id="{1AF1BAC5-26C3-4E70-AEAC-0F7FB7E3C14A}"/>
                  </a:ext>
                </a:extLst>
              </xdr:cNvPr>
              <xdr:cNvSpPr txBox="1"/>
            </xdr:nvSpPr>
            <xdr:spPr>
              <a:xfrm>
                <a:off x="3924300" y="79362300"/>
                <a:ext cx="83820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 b="1"/>
                  <a:t>Not classified</a:t>
                </a:r>
              </a:p>
            </xdr:txBody>
          </xdr:sp>
        </xdr:grpSp>
        <xdr:grpSp>
          <xdr:nvGrpSpPr>
            <xdr:cNvPr id="540" name="Group 539">
              <a:extLst>
                <a:ext uri="{FF2B5EF4-FFF2-40B4-BE49-F238E27FC236}">
                  <a16:creationId xmlns:a16="http://schemas.microsoft.com/office/drawing/2014/main" id="{524EE82F-5305-4E25-97D4-2CBC3EF3836F}"/>
                </a:ext>
              </a:extLst>
            </xdr:cNvPr>
            <xdr:cNvGrpSpPr/>
          </xdr:nvGrpSpPr>
          <xdr:grpSpPr>
            <a:xfrm>
              <a:off x="1171575" y="80133825"/>
              <a:ext cx="1323975" cy="475059"/>
              <a:chOff x="1181100" y="79228951"/>
              <a:chExt cx="1323975" cy="475059"/>
            </a:xfrm>
          </xdr:grpSpPr>
          <xdr:sp macro="" textlink="">
            <xdr:nvSpPr>
              <xdr:cNvPr id="541" name="Diamond 540">
                <a:extLst>
                  <a:ext uri="{FF2B5EF4-FFF2-40B4-BE49-F238E27FC236}">
                    <a16:creationId xmlns:a16="http://schemas.microsoft.com/office/drawing/2014/main" id="{3FDF09B9-BFBE-4E70-9AB3-C4AD3D4C644C}"/>
                  </a:ext>
                </a:extLst>
              </xdr:cNvPr>
              <xdr:cNvSpPr/>
            </xdr:nvSpPr>
            <xdr:spPr>
              <a:xfrm>
                <a:off x="1181100" y="79228951"/>
                <a:ext cx="1266825" cy="475059"/>
              </a:xfrm>
              <a:prstGeom prst="diamond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42" name="TextBox 541">
                <a:extLst>
                  <a:ext uri="{FF2B5EF4-FFF2-40B4-BE49-F238E27FC236}">
                    <a16:creationId xmlns:a16="http://schemas.microsoft.com/office/drawing/2014/main" id="{FD03DFDF-A139-482D-A6F2-F799A9E384CF}"/>
                  </a:ext>
                </a:extLst>
              </xdr:cNvPr>
              <xdr:cNvSpPr txBox="1"/>
            </xdr:nvSpPr>
            <xdr:spPr>
              <a:xfrm>
                <a:off x="1381125" y="79343250"/>
                <a:ext cx="112395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Straight bridge</a:t>
                </a:r>
              </a:p>
            </xdr:txBody>
          </xdr:sp>
        </xdr:grpSp>
        <xdr:grpSp>
          <xdr:nvGrpSpPr>
            <xdr:cNvPr id="18" name="Group 17">
              <a:extLst>
                <a:ext uri="{FF2B5EF4-FFF2-40B4-BE49-F238E27FC236}">
                  <a16:creationId xmlns:a16="http://schemas.microsoft.com/office/drawing/2014/main" id="{FA7906C8-C1A9-4240-BB12-56F75E464BFB}"/>
                </a:ext>
              </a:extLst>
            </xdr:cNvPr>
            <xdr:cNvGrpSpPr/>
          </xdr:nvGrpSpPr>
          <xdr:grpSpPr>
            <a:xfrm>
              <a:off x="2406015" y="79257525"/>
              <a:ext cx="1341120" cy="266700"/>
              <a:chOff x="2406015" y="79257525"/>
              <a:chExt cx="1341120" cy="266700"/>
            </a:xfrm>
          </xdr:grpSpPr>
          <xdr:sp macro="" textlink="">
            <xdr:nvSpPr>
              <xdr:cNvPr id="539" name="TextBox 538">
                <a:extLst>
                  <a:ext uri="{FF2B5EF4-FFF2-40B4-BE49-F238E27FC236}">
                    <a16:creationId xmlns:a16="http://schemas.microsoft.com/office/drawing/2014/main" id="{ACD2C390-D6FB-4449-8545-26EC2479B967}"/>
                  </a:ext>
                </a:extLst>
              </xdr:cNvPr>
              <xdr:cNvSpPr txBox="1"/>
            </xdr:nvSpPr>
            <xdr:spPr>
              <a:xfrm>
                <a:off x="2724150" y="79257525"/>
                <a:ext cx="59055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No</a:t>
                </a:r>
              </a:p>
            </xdr:txBody>
          </xdr:sp>
          <xdr:cxnSp macro="">
            <xdr:nvCxnSpPr>
              <xdr:cNvPr id="17" name="Straight Connector 16">
                <a:extLst>
                  <a:ext uri="{FF2B5EF4-FFF2-40B4-BE49-F238E27FC236}">
                    <a16:creationId xmlns:a16="http://schemas.microsoft.com/office/drawing/2014/main" id="{F9085902-28B3-461F-90AF-A383197667E0}"/>
                  </a:ext>
                </a:extLst>
              </xdr:cNvPr>
              <xdr:cNvCxnSpPr/>
            </xdr:nvCxnSpPr>
            <xdr:spPr>
              <a:xfrm>
                <a:off x="2406015" y="79467075"/>
                <a:ext cx="1341120" cy="0"/>
              </a:xfrm>
              <a:prstGeom prst="line">
                <a:avLst/>
              </a:prstGeom>
              <a:ln w="12700">
                <a:tailEnd type="stealth" w="lg" len="lg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44" name="Group 543">
              <a:extLst>
                <a:ext uri="{FF2B5EF4-FFF2-40B4-BE49-F238E27FC236}">
                  <a16:creationId xmlns:a16="http://schemas.microsoft.com/office/drawing/2014/main" id="{318D643F-6F17-4868-9D89-EA87F2FB6E2A}"/>
                </a:ext>
              </a:extLst>
            </xdr:cNvPr>
            <xdr:cNvGrpSpPr/>
          </xdr:nvGrpSpPr>
          <xdr:grpSpPr>
            <a:xfrm>
              <a:off x="3695700" y="82600800"/>
              <a:ext cx="1247775" cy="390525"/>
              <a:chOff x="3686175" y="79295625"/>
              <a:chExt cx="1247775" cy="390525"/>
            </a:xfrm>
          </xdr:grpSpPr>
          <xdr:sp macro="" textlink="">
            <xdr:nvSpPr>
              <xdr:cNvPr id="545" name="Rectangle: Rounded Corners 544">
                <a:extLst>
                  <a:ext uri="{FF2B5EF4-FFF2-40B4-BE49-F238E27FC236}">
                    <a16:creationId xmlns:a16="http://schemas.microsoft.com/office/drawing/2014/main" id="{38D8F99D-6A4B-49DF-90FB-80BA57B1FE52}"/>
                  </a:ext>
                </a:extLst>
              </xdr:cNvPr>
              <xdr:cNvSpPr/>
            </xdr:nvSpPr>
            <xdr:spPr>
              <a:xfrm>
                <a:off x="3695700" y="79295625"/>
                <a:ext cx="1219200" cy="390525"/>
              </a:xfrm>
              <a:prstGeom prst="round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46" name="TextBox 545">
                <a:extLst>
                  <a:ext uri="{FF2B5EF4-FFF2-40B4-BE49-F238E27FC236}">
                    <a16:creationId xmlns:a16="http://schemas.microsoft.com/office/drawing/2014/main" id="{56A4C925-F0F4-4B3D-A187-7BE224FFB5E3}"/>
                  </a:ext>
                </a:extLst>
              </xdr:cNvPr>
              <xdr:cNvSpPr txBox="1"/>
            </xdr:nvSpPr>
            <xdr:spPr>
              <a:xfrm>
                <a:off x="3686175" y="79362300"/>
                <a:ext cx="1247775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 b="1"/>
                  <a:t>Non-compact</a:t>
                </a:r>
                <a:r>
                  <a:rPr lang="en-US" sz="900" b="1" baseline="0"/>
                  <a:t> section</a:t>
                </a:r>
                <a:endParaRPr lang="en-US" sz="900" b="1"/>
              </a:p>
            </xdr:txBody>
          </xdr:sp>
        </xdr:grpSp>
        <xdr:grpSp>
          <xdr:nvGrpSpPr>
            <xdr:cNvPr id="22" name="Group 21">
              <a:extLst>
                <a:ext uri="{FF2B5EF4-FFF2-40B4-BE49-F238E27FC236}">
                  <a16:creationId xmlns:a16="http://schemas.microsoft.com/office/drawing/2014/main" id="{14F8EAB2-40F4-4088-870E-DBF3A84202E0}"/>
                </a:ext>
              </a:extLst>
            </xdr:cNvPr>
            <xdr:cNvGrpSpPr/>
          </xdr:nvGrpSpPr>
          <xdr:grpSpPr>
            <a:xfrm>
              <a:off x="533399" y="81048225"/>
              <a:ext cx="2705101" cy="1209675"/>
              <a:chOff x="1000124" y="80876775"/>
              <a:chExt cx="2705101" cy="1209675"/>
            </a:xfrm>
          </xdr:grpSpPr>
          <xdr:sp macro="" textlink="">
            <xdr:nvSpPr>
              <xdr:cNvPr id="21" name="Rectangle: Rounded Corners 20">
                <a:extLst>
                  <a:ext uri="{FF2B5EF4-FFF2-40B4-BE49-F238E27FC236}">
                    <a16:creationId xmlns:a16="http://schemas.microsoft.com/office/drawing/2014/main" id="{FD77B032-563F-4DC5-85C0-219F22C2ECAF}"/>
                  </a:ext>
                </a:extLst>
              </xdr:cNvPr>
              <xdr:cNvSpPr/>
            </xdr:nvSpPr>
            <xdr:spPr>
              <a:xfrm>
                <a:off x="1000124" y="80876775"/>
                <a:ext cx="2562225" cy="1209675"/>
              </a:xfrm>
              <a:prstGeom prst="roundRect">
                <a:avLst>
                  <a:gd name="adj" fmla="val 50000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47" name="TextBox 546">
                <a:extLst>
                  <a:ext uri="{FF2B5EF4-FFF2-40B4-BE49-F238E27FC236}">
                    <a16:creationId xmlns:a16="http://schemas.microsoft.com/office/drawing/2014/main" id="{33CBBC30-39E9-42B4-B001-EF2EF378048B}"/>
                  </a:ext>
                </a:extLst>
              </xdr:cNvPr>
              <xdr:cNvSpPr txBox="1"/>
            </xdr:nvSpPr>
            <xdr:spPr>
              <a:xfrm>
                <a:off x="1095374" y="80943450"/>
                <a:ext cx="2609851" cy="1085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>
                    <a:latin typeface="+mn-lt"/>
                    <a:ea typeface="+mj-ea"/>
                  </a:rPr>
                  <a:t>F</a:t>
                </a:r>
                <a:r>
                  <a:rPr lang="en-US" sz="900" baseline="-25000">
                    <a:latin typeface="+mn-lt"/>
                    <a:ea typeface="+mj-ea"/>
                  </a:rPr>
                  <a:t>yf</a:t>
                </a:r>
                <a:r>
                  <a:rPr lang="en-US" sz="900">
                    <a:latin typeface="+mn-lt"/>
                    <a:ea typeface="+mj-ea"/>
                  </a:rPr>
                  <a:t>, F</a:t>
                </a:r>
                <a:r>
                  <a:rPr lang="en-US" sz="900" baseline="-25000">
                    <a:latin typeface="+mn-lt"/>
                    <a:ea typeface="+mj-ea"/>
                  </a:rPr>
                  <a:t>yw</a:t>
                </a:r>
                <a:r>
                  <a:rPr lang="en-US" sz="900">
                    <a:latin typeface="+mn-lt"/>
                    <a:ea typeface="+mj-ea"/>
                  </a:rPr>
                  <a:t> ≤ 455MPa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>
                    <a:latin typeface="+mn-lt"/>
                    <a:ea typeface="+mj-ea"/>
                  </a:rPr>
                  <a:t>D/t</a:t>
                </a:r>
                <a:r>
                  <a:rPr lang="en-US" sz="900" baseline="-25000">
                    <a:latin typeface="+mn-lt"/>
                    <a:ea typeface="+mj-ea"/>
                  </a:rPr>
                  <a:t>w</a:t>
                </a:r>
                <a:r>
                  <a:rPr lang="en-US" sz="900">
                    <a:latin typeface="+mn-lt"/>
                    <a:ea typeface="+mj-ea"/>
                  </a:rPr>
                  <a:t> ≤ 150 without longitudinally stiffeners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>
                    <a:latin typeface="+mn-lt"/>
                    <a:ea typeface="+mj-ea"/>
                  </a:rPr>
                  <a:t>0.8w</a:t>
                </a:r>
                <a:r>
                  <a:rPr lang="en-US" sz="900" baseline="0">
                    <a:latin typeface="+mn-lt"/>
                    <a:ea typeface="+mj-ea"/>
                  </a:rPr>
                  <a:t> ≤ a ≤ 1.2w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 baseline="0">
                    <a:latin typeface="+mn-lt"/>
                    <a:ea typeface="+mj-ea"/>
                  </a:rPr>
                  <a:t>0.65w ≤ a ≤ 1.35w for nonparallel box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 baseline="0">
                    <a:latin typeface="+mn-lt"/>
                    <a:ea typeface="+mj-ea"/>
                  </a:rPr>
                  <a:t>S ≤ 1/4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 baseline="0">
                    <a:latin typeface="+mn-lt"/>
                    <a:ea typeface="+mj-ea"/>
                  </a:rPr>
                  <a:t>b ≤ min(a; 1800)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 baseline="0">
                    <a:latin typeface="+mn-lt"/>
                    <a:ea typeface="+mj-ea"/>
                  </a:rPr>
                  <a:t>2D</a:t>
                </a:r>
                <a:r>
                  <a:rPr lang="en-US" sz="900" baseline="-25000">
                    <a:latin typeface="+mn-lt"/>
                    <a:ea typeface="+mj-ea"/>
                  </a:rPr>
                  <a:t>cp</a:t>
                </a:r>
                <a:r>
                  <a:rPr lang="en-US" sz="900" baseline="0">
                    <a:latin typeface="+mn-lt"/>
                    <a:ea typeface="+mj-ea"/>
                  </a:rPr>
                  <a:t> / t</a:t>
                </a:r>
                <a:r>
                  <a:rPr lang="en-US" sz="900" baseline="-25000">
                    <a:latin typeface="+mn-lt"/>
                    <a:ea typeface="+mj-ea"/>
                  </a:rPr>
                  <a:t>w</a:t>
                </a:r>
                <a:r>
                  <a:rPr lang="en-US" sz="900" baseline="0">
                    <a:latin typeface="+mn-lt"/>
                    <a:ea typeface="+mj-ea"/>
                  </a:rPr>
                  <a:t> ≤ 3.76√(E / F</a:t>
                </a:r>
                <a:r>
                  <a:rPr lang="en-US" sz="900" baseline="-25000">
                    <a:latin typeface="+mn-lt"/>
                    <a:ea typeface="+mj-ea"/>
                  </a:rPr>
                  <a:t>yc</a:t>
                </a:r>
                <a:r>
                  <a:rPr lang="en-US" sz="900" baseline="0">
                    <a:latin typeface="+mn-lt"/>
                    <a:ea typeface="+mj-ea"/>
                  </a:rPr>
                  <a:t>)</a:t>
                </a:r>
                <a:endParaRPr lang="en-US" sz="900">
                  <a:latin typeface="+mn-lt"/>
                  <a:ea typeface="+mj-ea"/>
                </a:endParaRPr>
              </a:p>
            </xdr:txBody>
          </xdr:sp>
        </xdr:grpSp>
        <xdr:sp macro="" textlink="">
          <xdr:nvSpPr>
            <xdr:cNvPr id="23" name="Freeform: Shape 22">
              <a:extLst>
                <a:ext uri="{FF2B5EF4-FFF2-40B4-BE49-F238E27FC236}">
                  <a16:creationId xmlns:a16="http://schemas.microsoft.com/office/drawing/2014/main" id="{4DE68AC9-0A03-4E66-AB94-C95D8AA483CF}"/>
                </a:ext>
              </a:extLst>
            </xdr:cNvPr>
            <xdr:cNvSpPr/>
          </xdr:nvSpPr>
          <xdr:spPr>
            <a:xfrm>
              <a:off x="2447925" y="80371950"/>
              <a:ext cx="1876425" cy="2219325"/>
            </a:xfrm>
            <a:custGeom>
              <a:avLst/>
              <a:gdLst>
                <a:gd name="connsiteX0" fmla="*/ 0 w 1876425"/>
                <a:gd name="connsiteY0" fmla="*/ 0 h 2219325"/>
                <a:gd name="connsiteX1" fmla="*/ 1876425 w 1876425"/>
                <a:gd name="connsiteY1" fmla="*/ 0 h 2219325"/>
                <a:gd name="connsiteX2" fmla="*/ 1876425 w 1876425"/>
                <a:gd name="connsiteY2" fmla="*/ 2219325 h 22193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876425" h="2219325">
                  <a:moveTo>
                    <a:pt x="0" y="0"/>
                  </a:moveTo>
                  <a:lnTo>
                    <a:pt x="1876425" y="0"/>
                  </a:lnTo>
                  <a:lnTo>
                    <a:pt x="1876425" y="2219325"/>
                  </a:lnTo>
                </a:path>
              </a:pathLst>
            </a:custGeom>
            <a:noFill/>
            <a:ln w="12700">
              <a:solidFill>
                <a:schemeClr val="accent5">
                  <a:lumMod val="75000"/>
                </a:schemeClr>
              </a:solidFill>
              <a:tailEnd type="stealth" w="lg" len="lg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551" name="TextBox 550">
              <a:extLst>
                <a:ext uri="{FF2B5EF4-FFF2-40B4-BE49-F238E27FC236}">
                  <a16:creationId xmlns:a16="http://schemas.microsoft.com/office/drawing/2014/main" id="{3E96C5B1-299B-4532-AEBE-92FC77519265}"/>
                </a:ext>
              </a:extLst>
            </xdr:cNvPr>
            <xdr:cNvSpPr txBox="1"/>
          </xdr:nvSpPr>
          <xdr:spPr>
            <a:xfrm>
              <a:off x="2714625" y="80171925"/>
              <a:ext cx="590550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No</a:t>
              </a:r>
            </a:p>
          </xdr:txBody>
        </xdr:sp>
        <xdr:grpSp>
          <xdr:nvGrpSpPr>
            <xdr:cNvPr id="552" name="Group 551">
              <a:extLst>
                <a:ext uri="{FF2B5EF4-FFF2-40B4-BE49-F238E27FC236}">
                  <a16:creationId xmlns:a16="http://schemas.microsoft.com/office/drawing/2014/main" id="{F45B2BDB-1ED4-47E9-B2E1-AEAFFDDB9579}"/>
                </a:ext>
              </a:extLst>
            </xdr:cNvPr>
            <xdr:cNvGrpSpPr/>
          </xdr:nvGrpSpPr>
          <xdr:grpSpPr>
            <a:xfrm>
              <a:off x="3105150" y="81438750"/>
              <a:ext cx="1219200" cy="266700"/>
              <a:chOff x="2457450" y="79267050"/>
              <a:chExt cx="914400" cy="266700"/>
            </a:xfrm>
          </xdr:grpSpPr>
          <xdr:sp macro="" textlink="">
            <xdr:nvSpPr>
              <xdr:cNvPr id="553" name="TextBox 552">
                <a:extLst>
                  <a:ext uri="{FF2B5EF4-FFF2-40B4-BE49-F238E27FC236}">
                    <a16:creationId xmlns:a16="http://schemas.microsoft.com/office/drawing/2014/main" id="{947A9E26-B9D1-437B-A169-F9A866799C6D}"/>
                  </a:ext>
                </a:extLst>
              </xdr:cNvPr>
              <xdr:cNvSpPr txBox="1"/>
            </xdr:nvSpPr>
            <xdr:spPr>
              <a:xfrm>
                <a:off x="2745581" y="79267050"/>
                <a:ext cx="59055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No</a:t>
                </a:r>
              </a:p>
            </xdr:txBody>
          </xdr:sp>
          <xdr:cxnSp macro="">
            <xdr:nvCxnSpPr>
              <xdr:cNvPr id="554" name="Straight Connector 553">
                <a:extLst>
                  <a:ext uri="{FF2B5EF4-FFF2-40B4-BE49-F238E27FC236}">
                    <a16:creationId xmlns:a16="http://schemas.microsoft.com/office/drawing/2014/main" id="{888AB7B9-E891-42E5-B821-9F5094DCC7D6}"/>
                  </a:ext>
                </a:extLst>
              </xdr:cNvPr>
              <xdr:cNvCxnSpPr/>
            </xdr:nvCxnSpPr>
            <xdr:spPr>
              <a:xfrm>
                <a:off x="2457450" y="79467075"/>
                <a:ext cx="914400" cy="0"/>
              </a:xfrm>
              <a:prstGeom prst="line">
                <a:avLst/>
              </a:prstGeom>
              <a:ln w="12700">
                <a:tailEnd type="none" w="lg" len="lg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55" name="Group 554">
              <a:extLst>
                <a:ext uri="{FF2B5EF4-FFF2-40B4-BE49-F238E27FC236}">
                  <a16:creationId xmlns:a16="http://schemas.microsoft.com/office/drawing/2014/main" id="{91BF83DA-82A9-405E-AD4A-AF6D4467ACC7}"/>
                </a:ext>
              </a:extLst>
            </xdr:cNvPr>
            <xdr:cNvGrpSpPr/>
          </xdr:nvGrpSpPr>
          <xdr:grpSpPr>
            <a:xfrm>
              <a:off x="1209675" y="82600800"/>
              <a:ext cx="1247775" cy="390525"/>
              <a:chOff x="3686175" y="79295625"/>
              <a:chExt cx="1247775" cy="390525"/>
            </a:xfrm>
          </xdr:grpSpPr>
          <xdr:sp macro="" textlink="">
            <xdr:nvSpPr>
              <xdr:cNvPr id="556" name="Rectangle: Rounded Corners 555">
                <a:extLst>
                  <a:ext uri="{FF2B5EF4-FFF2-40B4-BE49-F238E27FC236}">
                    <a16:creationId xmlns:a16="http://schemas.microsoft.com/office/drawing/2014/main" id="{3A25EDEF-C680-4CE7-BCE1-C900D4AA8871}"/>
                  </a:ext>
                </a:extLst>
              </xdr:cNvPr>
              <xdr:cNvSpPr/>
            </xdr:nvSpPr>
            <xdr:spPr>
              <a:xfrm>
                <a:off x="3695700" y="79295625"/>
                <a:ext cx="1219200" cy="390525"/>
              </a:xfrm>
              <a:prstGeom prst="round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57" name="TextBox 556">
                <a:extLst>
                  <a:ext uri="{FF2B5EF4-FFF2-40B4-BE49-F238E27FC236}">
                    <a16:creationId xmlns:a16="http://schemas.microsoft.com/office/drawing/2014/main" id="{F47F1689-42A7-4960-AD25-AD76588DA0A8}"/>
                  </a:ext>
                </a:extLst>
              </xdr:cNvPr>
              <xdr:cNvSpPr txBox="1"/>
            </xdr:nvSpPr>
            <xdr:spPr>
              <a:xfrm>
                <a:off x="3686175" y="79362300"/>
                <a:ext cx="1247775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900" b="1"/>
                  <a:t>Compact</a:t>
                </a:r>
                <a:r>
                  <a:rPr lang="en-US" sz="900" b="1" baseline="0"/>
                  <a:t> section</a:t>
                </a:r>
                <a:endParaRPr lang="en-US" sz="900" b="1"/>
              </a:p>
            </xdr:txBody>
          </xdr:sp>
        </xdr:grpSp>
        <xdr:grpSp>
          <xdr:nvGrpSpPr>
            <xdr:cNvPr id="558" name="Group 557">
              <a:extLst>
                <a:ext uri="{FF2B5EF4-FFF2-40B4-BE49-F238E27FC236}">
                  <a16:creationId xmlns:a16="http://schemas.microsoft.com/office/drawing/2014/main" id="{D49C768B-B104-436A-9BFB-3A2C6BFF36AF}"/>
                </a:ext>
              </a:extLst>
            </xdr:cNvPr>
            <xdr:cNvGrpSpPr/>
          </xdr:nvGrpSpPr>
          <xdr:grpSpPr>
            <a:xfrm>
              <a:off x="1771650" y="82263571"/>
              <a:ext cx="590550" cy="322032"/>
              <a:chOff x="1781175" y="79739446"/>
              <a:chExt cx="590550" cy="322032"/>
            </a:xfrm>
          </xdr:grpSpPr>
          <xdr:cxnSp macro="">
            <xdr:nvCxnSpPr>
              <xdr:cNvPr id="559" name="Straight Connector 558">
                <a:extLst>
                  <a:ext uri="{FF2B5EF4-FFF2-40B4-BE49-F238E27FC236}">
                    <a16:creationId xmlns:a16="http://schemas.microsoft.com/office/drawing/2014/main" id="{27117920-C871-43C2-B2AB-5C74377146D2}"/>
                  </a:ext>
                </a:extLst>
              </xdr:cNvPr>
              <xdr:cNvCxnSpPr/>
            </xdr:nvCxnSpPr>
            <xdr:spPr>
              <a:xfrm>
                <a:off x="1809750" y="79739446"/>
                <a:ext cx="0" cy="322032"/>
              </a:xfrm>
              <a:prstGeom prst="line">
                <a:avLst/>
              </a:prstGeom>
              <a:ln w="12700">
                <a:tailEnd type="stealth" w="lg" len="lg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60" name="TextBox 559">
                <a:extLst>
                  <a:ext uri="{FF2B5EF4-FFF2-40B4-BE49-F238E27FC236}">
                    <a16:creationId xmlns:a16="http://schemas.microsoft.com/office/drawing/2014/main" id="{53BBAAF4-959D-44BF-8A39-2BE2326A804E}"/>
                  </a:ext>
                </a:extLst>
              </xdr:cNvPr>
              <xdr:cNvSpPr txBox="1"/>
            </xdr:nvSpPr>
            <xdr:spPr>
              <a:xfrm>
                <a:off x="1781175" y="79752825"/>
                <a:ext cx="59055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Yes</a:t>
                </a:r>
              </a:p>
            </xdr:txBody>
          </xdr:sp>
        </xdr:grpSp>
      </xdr:grpSp>
    </xdr:grpSp>
    <xdr:clientData/>
  </xdr:twoCellAnchor>
  <xdr:twoCellAnchor>
    <xdr:from>
      <xdr:col>8</xdr:col>
      <xdr:colOff>200025</xdr:colOff>
      <xdr:row>27</xdr:row>
      <xdr:rowOff>38100</xdr:rowOff>
    </xdr:from>
    <xdr:to>
      <xdr:col>13</xdr:col>
      <xdr:colOff>152400</xdr:colOff>
      <xdr:row>33</xdr:row>
      <xdr:rowOff>123825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82CC57D-70AF-448E-8C8E-81C4F5E9E228}"/>
            </a:ext>
          </a:extLst>
        </xdr:cNvPr>
        <xdr:cNvSpPr/>
      </xdr:nvSpPr>
      <xdr:spPr>
        <a:xfrm>
          <a:off x="3400425" y="5181600"/>
          <a:ext cx="1952625" cy="1228725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405745</xdr:colOff>
      <xdr:row>159</xdr:row>
      <xdr:rowOff>0</xdr:rowOff>
    </xdr:from>
    <xdr:to>
      <xdr:col>11</xdr:col>
      <xdr:colOff>76200</xdr:colOff>
      <xdr:row>168</xdr:row>
      <xdr:rowOff>50675</xdr:rowOff>
    </xdr:to>
    <xdr:grpSp>
      <xdr:nvGrpSpPr>
        <xdr:cNvPr id="140" name="Group 139">
          <a:extLst>
            <a:ext uri="{FF2B5EF4-FFF2-40B4-BE49-F238E27FC236}">
              <a16:creationId xmlns:a16="http://schemas.microsoft.com/office/drawing/2014/main" id="{3A744414-C2D8-4099-985D-885F95D779D7}"/>
            </a:ext>
          </a:extLst>
        </xdr:cNvPr>
        <xdr:cNvGrpSpPr/>
      </xdr:nvGrpSpPr>
      <xdr:grpSpPr>
        <a:xfrm>
          <a:off x="843895" y="16923429"/>
          <a:ext cx="4051955" cy="1700996"/>
          <a:chOff x="643870" y="22323999"/>
          <a:chExt cx="4056657" cy="1709547"/>
        </a:xfrm>
      </xdr:grpSpPr>
      <xdr:grpSp>
        <xdr:nvGrpSpPr>
          <xdr:cNvPr id="141" name="Group 140">
            <a:extLst>
              <a:ext uri="{FF2B5EF4-FFF2-40B4-BE49-F238E27FC236}">
                <a16:creationId xmlns:a16="http://schemas.microsoft.com/office/drawing/2014/main" id="{6315D708-237A-4949-B810-A4727E7390AC}"/>
              </a:ext>
            </a:extLst>
          </xdr:cNvPr>
          <xdr:cNvGrpSpPr/>
        </xdr:nvGrpSpPr>
        <xdr:grpSpPr>
          <a:xfrm>
            <a:off x="643870" y="22323999"/>
            <a:ext cx="4056657" cy="1709547"/>
            <a:chOff x="643870" y="22323999"/>
            <a:chExt cx="4056657" cy="1709547"/>
          </a:xfrm>
        </xdr:grpSpPr>
        <xdr:grpSp>
          <xdr:nvGrpSpPr>
            <xdr:cNvPr id="144" name="Group 143">
              <a:extLst>
                <a:ext uri="{FF2B5EF4-FFF2-40B4-BE49-F238E27FC236}">
                  <a16:creationId xmlns:a16="http://schemas.microsoft.com/office/drawing/2014/main" id="{689CE9A6-93DA-4E36-B625-D32B84774E3D}"/>
                </a:ext>
              </a:extLst>
            </xdr:cNvPr>
            <xdr:cNvGrpSpPr/>
          </xdr:nvGrpSpPr>
          <xdr:grpSpPr>
            <a:xfrm>
              <a:off x="643870" y="22323999"/>
              <a:ext cx="4056657" cy="1709547"/>
              <a:chOff x="643870" y="22210310"/>
              <a:chExt cx="4056657" cy="1700479"/>
            </a:xfrm>
          </xdr:grpSpPr>
          <xdr:grpSp>
            <xdr:nvGrpSpPr>
              <xdr:cNvPr id="149" name="Group 148">
                <a:extLst>
                  <a:ext uri="{FF2B5EF4-FFF2-40B4-BE49-F238E27FC236}">
                    <a16:creationId xmlns:a16="http://schemas.microsoft.com/office/drawing/2014/main" id="{AD44642B-34B9-4603-AA56-DCCCD6B6715C}"/>
                  </a:ext>
                </a:extLst>
              </xdr:cNvPr>
              <xdr:cNvGrpSpPr/>
            </xdr:nvGrpSpPr>
            <xdr:grpSpPr>
              <a:xfrm>
                <a:off x="643870" y="22210310"/>
                <a:ext cx="4056657" cy="1700479"/>
                <a:chOff x="643870" y="22210310"/>
                <a:chExt cx="4056657" cy="1700479"/>
              </a:xfrm>
            </xdr:grpSpPr>
            <xdr:grpSp>
              <xdr:nvGrpSpPr>
                <xdr:cNvPr id="152" name="Group 151">
                  <a:extLst>
                    <a:ext uri="{FF2B5EF4-FFF2-40B4-BE49-F238E27FC236}">
                      <a16:creationId xmlns:a16="http://schemas.microsoft.com/office/drawing/2014/main" id="{C275323F-9BBB-4710-B118-1D0F92A407B7}"/>
                    </a:ext>
                  </a:extLst>
                </xdr:cNvPr>
                <xdr:cNvGrpSpPr/>
              </xdr:nvGrpSpPr>
              <xdr:grpSpPr>
                <a:xfrm>
                  <a:off x="643870" y="22210310"/>
                  <a:ext cx="4056657" cy="1700479"/>
                  <a:chOff x="7207675" y="21761748"/>
                  <a:chExt cx="4109104" cy="1691416"/>
                </a:xfrm>
              </xdr:grpSpPr>
              <xdr:grpSp>
                <xdr:nvGrpSpPr>
                  <xdr:cNvPr id="155" name="Group 154">
                    <a:extLst>
                      <a:ext uri="{FF2B5EF4-FFF2-40B4-BE49-F238E27FC236}">
                        <a16:creationId xmlns:a16="http://schemas.microsoft.com/office/drawing/2014/main" id="{3E1BD987-C263-408C-A073-A29F8813E18E}"/>
                      </a:ext>
                    </a:extLst>
                  </xdr:cNvPr>
                  <xdr:cNvGrpSpPr/>
                </xdr:nvGrpSpPr>
                <xdr:grpSpPr>
                  <a:xfrm>
                    <a:off x="7207675" y="21761748"/>
                    <a:ext cx="4109104" cy="1691416"/>
                    <a:chOff x="7206917" y="21885107"/>
                    <a:chExt cx="4107494" cy="1701176"/>
                  </a:xfrm>
                </xdr:grpSpPr>
                <xdr:grpSp>
                  <xdr:nvGrpSpPr>
                    <xdr:cNvPr id="159" name="Group 158">
                      <a:extLst>
                        <a:ext uri="{FF2B5EF4-FFF2-40B4-BE49-F238E27FC236}">
                          <a16:creationId xmlns:a16="http://schemas.microsoft.com/office/drawing/2014/main" id="{FAB772AB-D9D1-42CC-BA11-1A4695A9DC88}"/>
                        </a:ext>
                      </a:extLst>
                    </xdr:cNvPr>
                    <xdr:cNvGrpSpPr/>
                  </xdr:nvGrpSpPr>
                  <xdr:grpSpPr>
                    <a:xfrm>
                      <a:off x="7372927" y="21885107"/>
                      <a:ext cx="3941484" cy="1701176"/>
                      <a:chOff x="362527" y="4628867"/>
                      <a:chExt cx="3941484" cy="1705956"/>
                    </a:xfrm>
                  </xdr:grpSpPr>
                  <xdr:grpSp>
                    <xdr:nvGrpSpPr>
                      <xdr:cNvPr id="165" name="Group 164">
                        <a:extLst>
                          <a:ext uri="{FF2B5EF4-FFF2-40B4-BE49-F238E27FC236}">
                            <a16:creationId xmlns:a16="http://schemas.microsoft.com/office/drawing/2014/main" id="{A21B3FB7-9C23-44DC-8BE8-A065304D8E87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62527" y="4628867"/>
                        <a:ext cx="3941484" cy="1705956"/>
                        <a:chOff x="510666" y="111134356"/>
                        <a:chExt cx="3941484" cy="1701176"/>
                      </a:xfrm>
                    </xdr:grpSpPr>
                    <xdr:grpSp>
                      <xdr:nvGrpSpPr>
                        <xdr:cNvPr id="169" name="Group 168">
                          <a:extLst>
                            <a:ext uri="{FF2B5EF4-FFF2-40B4-BE49-F238E27FC236}">
                              <a16:creationId xmlns:a16="http://schemas.microsoft.com/office/drawing/2014/main" id="{845FFC69-F58D-4B60-BB53-62CA5B0DCAD2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510666" y="111134356"/>
                          <a:ext cx="3941484" cy="1643821"/>
                          <a:chOff x="1216851" y="110401772"/>
                          <a:chExt cx="3963164" cy="1634284"/>
                        </a:xfrm>
                      </xdr:grpSpPr>
                      <xdr:sp macro="" textlink="">
                        <xdr:nvSpPr>
                          <xdr:cNvPr id="175" name="Freeform 57">
                            <a:extLst>
                              <a:ext uri="{FF2B5EF4-FFF2-40B4-BE49-F238E27FC236}">
                                <a16:creationId xmlns:a16="http://schemas.microsoft.com/office/drawing/2014/main" id="{1DB6BDA2-E5FC-4DF4-B967-07CA529D378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912652" y="111591730"/>
                            <a:ext cx="435194" cy="263266"/>
                          </a:xfrm>
                          <a:custGeom>
                            <a:avLst/>
                            <a:gdLst>
                              <a:gd name="connsiteX0" fmla="*/ 0 w 404812"/>
                              <a:gd name="connsiteY0" fmla="*/ 0 h 264319"/>
                              <a:gd name="connsiteX1" fmla="*/ 404812 w 404812"/>
                              <a:gd name="connsiteY1" fmla="*/ 0 h 264319"/>
                              <a:gd name="connsiteX2" fmla="*/ 404812 w 404812"/>
                              <a:gd name="connsiteY2" fmla="*/ 264319 h 264319"/>
                              <a:gd name="connsiteX3" fmla="*/ 73819 w 404812"/>
                              <a:gd name="connsiteY3" fmla="*/ 264319 h 264319"/>
                              <a:gd name="connsiteX4" fmla="*/ 0 w 404812"/>
                              <a:gd name="connsiteY4" fmla="*/ 0 h 264319"/>
                            </a:gdLst>
                            <a:ahLst/>
                            <a:cxnLst>
                              <a:cxn ang="0">
                                <a:pos x="connsiteX0" y="connsiteY0"/>
                              </a:cxn>
                              <a:cxn ang="0">
                                <a:pos x="connsiteX1" y="connsiteY1"/>
                              </a:cxn>
                              <a:cxn ang="0">
                                <a:pos x="connsiteX2" y="connsiteY2"/>
                              </a:cxn>
                              <a:cxn ang="0">
                                <a:pos x="connsiteX3" y="connsiteY3"/>
                              </a:cxn>
                              <a:cxn ang="0">
                                <a:pos x="connsiteX4" y="connsiteY4"/>
                              </a:cxn>
                            </a:cxnLst>
                            <a:rect l="l" t="t" r="r" b="b"/>
                            <a:pathLst>
                              <a:path w="404812" h="264319">
                                <a:moveTo>
                                  <a:pt x="0" y="0"/>
                                </a:moveTo>
                                <a:lnTo>
                                  <a:pt x="404812" y="0"/>
                                </a:lnTo>
                                <a:lnTo>
                                  <a:pt x="404812" y="264319"/>
                                </a:lnTo>
                                <a:lnTo>
                                  <a:pt x="73819" y="264319"/>
                                </a:lnTo>
                                <a:lnTo>
                                  <a:pt x="0" y="0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n w="9525"/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ko-KR" altLang="en-US" sz="1100"/>
                          </a:p>
                        </xdr:txBody>
                      </xdr:sp>
                      <xdr:cxnSp macro="">
                        <xdr:nvCxnSpPr>
                          <xdr:cNvPr id="176" name="Straight Connector 175">
                            <a:extLst>
                              <a:ext uri="{FF2B5EF4-FFF2-40B4-BE49-F238E27FC236}">
                                <a16:creationId xmlns:a16="http://schemas.microsoft.com/office/drawing/2014/main" id="{EC2068F4-18F7-48A2-B02D-54D215133EE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581900" y="111446165"/>
                            <a:ext cx="3129881" cy="0"/>
                          </a:xfrm>
                          <a:prstGeom prst="line">
                            <a:avLst/>
                          </a:prstGeom>
                          <a:ln>
                            <a:solidFill>
                              <a:srgbClr val="FF0000"/>
                            </a:solidFill>
                            <a:prstDash val="sysDot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grpSp>
                        <xdr:nvGrpSpPr>
                          <xdr:cNvPr id="177" name="Group 176">
                            <a:extLst>
                              <a:ext uri="{FF2B5EF4-FFF2-40B4-BE49-F238E27FC236}">
                                <a16:creationId xmlns:a16="http://schemas.microsoft.com/office/drawing/2014/main" id="{086190A4-D65E-43C9-9B7B-010D279FCB7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216851" y="110401772"/>
                            <a:ext cx="3963164" cy="1634284"/>
                            <a:chOff x="1216851" y="110401772"/>
                            <a:chExt cx="3963164" cy="1634284"/>
                          </a:xfrm>
                        </xdr:grpSpPr>
                        <xdr:grpSp>
                          <xdr:nvGrpSpPr>
                            <xdr:cNvPr id="178" name="Group 177">
                              <a:extLst>
                                <a:ext uri="{FF2B5EF4-FFF2-40B4-BE49-F238E27FC236}">
                                  <a16:creationId xmlns:a16="http://schemas.microsoft.com/office/drawing/2014/main" id="{4C337E27-9FBB-4012-804C-5ED0AEF78B7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1312044" y="110401772"/>
                              <a:ext cx="3867971" cy="1634284"/>
                              <a:chOff x="1305466" y="111014807"/>
                              <a:chExt cx="3846986" cy="1643283"/>
                            </a:xfrm>
                          </xdr:grpSpPr>
                          <xdr:grpSp>
                            <xdr:nvGrpSpPr>
                              <xdr:cNvPr id="208" name="Group 207">
                                <a:extLst>
                                  <a:ext uri="{FF2B5EF4-FFF2-40B4-BE49-F238E27FC236}">
                                    <a16:creationId xmlns:a16="http://schemas.microsoft.com/office/drawing/2014/main" id="{0AB88FD3-7F37-47F0-9184-6D367575BAC8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1305466" y="111014807"/>
                                <a:ext cx="3846986" cy="1643283"/>
                                <a:chOff x="4455319" y="111897883"/>
                                <a:chExt cx="4690943" cy="1967475"/>
                              </a:xfrm>
                            </xdr:grpSpPr>
                            <xdr:sp macro="" textlink="">
                              <xdr:nvSpPr>
                                <xdr:cNvPr id="211" name="Freeform 99">
                                  <a:extLst>
                                    <a:ext uri="{FF2B5EF4-FFF2-40B4-BE49-F238E27FC236}">
                                      <a16:creationId xmlns:a16="http://schemas.microsoft.com/office/drawing/2014/main" id="{1D26552A-620B-49CD-A7AF-FCB1419FA16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5634037" y="112206541"/>
                                  <a:ext cx="152837" cy="1658817"/>
                                </a:xfrm>
                                <a:custGeom>
                                  <a:avLst/>
                                  <a:gdLst>
                                    <a:gd name="connsiteX0" fmla="*/ 73478 w 155121"/>
                                    <a:gd name="connsiteY0" fmla="*/ 0 h 1687286"/>
                                    <a:gd name="connsiteX1" fmla="*/ 73478 w 155121"/>
                                    <a:gd name="connsiteY1" fmla="*/ 767443 h 1687286"/>
                                    <a:gd name="connsiteX2" fmla="*/ 155121 w 155121"/>
                                    <a:gd name="connsiteY2" fmla="*/ 767443 h 1687286"/>
                                    <a:gd name="connsiteX3" fmla="*/ 0 w 155121"/>
                                    <a:gd name="connsiteY3" fmla="*/ 808265 h 1687286"/>
                                    <a:gd name="connsiteX4" fmla="*/ 78921 w 155121"/>
                                    <a:gd name="connsiteY4" fmla="*/ 808265 h 1687286"/>
                                    <a:gd name="connsiteX5" fmla="*/ 78921 w 155121"/>
                                    <a:gd name="connsiteY5" fmla="*/ 1687286 h 1687286"/>
                                  </a:gdLst>
                                  <a:ahLst/>
                                  <a:cxnLst>
                                    <a:cxn ang="0">
                                      <a:pos x="connsiteX0" y="connsiteY0"/>
                                    </a:cxn>
                                    <a:cxn ang="0">
                                      <a:pos x="connsiteX1" y="connsiteY1"/>
                                    </a:cxn>
                                    <a:cxn ang="0">
                                      <a:pos x="connsiteX2" y="connsiteY2"/>
                                    </a:cxn>
                                    <a:cxn ang="0">
                                      <a:pos x="connsiteX3" y="connsiteY3"/>
                                    </a:cxn>
                                    <a:cxn ang="0">
                                      <a:pos x="connsiteX4" y="connsiteY4"/>
                                    </a:cxn>
                                    <a:cxn ang="0">
                                      <a:pos x="connsiteX5" y="connsiteY5"/>
                                    </a:cxn>
                                  </a:cxnLst>
                                  <a:rect l="l" t="t" r="r" b="b"/>
                                  <a:pathLst>
                                    <a:path w="155121" h="1687286">
                                      <a:moveTo>
                                        <a:pt x="73478" y="0"/>
                                      </a:moveTo>
                                      <a:lnTo>
                                        <a:pt x="73478" y="767443"/>
                                      </a:lnTo>
                                      <a:lnTo>
                                        <a:pt x="155121" y="767443"/>
                                      </a:lnTo>
                                      <a:lnTo>
                                        <a:pt x="0" y="808265"/>
                                      </a:lnTo>
                                      <a:lnTo>
                                        <a:pt x="78921" y="808265"/>
                                      </a:lnTo>
                                      <a:lnTo>
                                        <a:pt x="78921" y="1687286"/>
                                      </a:lnTo>
                                    </a:path>
                                  </a:pathLst>
                                </a:custGeom>
                                <a:noFill/>
                                <a:ln w="3175"/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vertOverflow="clip" horzOverflow="clip" rtlCol="0" anchor="t"/>
                                <a:lstStyle/>
                                <a:p>
                                  <a:pPr algn="l"/>
                                  <a:endParaRPr lang="ko-KR" altLang="en-US" sz="1100"/>
                                </a:p>
                              </xdr:txBody>
                            </xdr:sp>
                            <xdr:grpSp>
                              <xdr:nvGrpSpPr>
                                <xdr:cNvPr id="212" name="Group 211">
                                  <a:extLst>
                                    <a:ext uri="{FF2B5EF4-FFF2-40B4-BE49-F238E27FC236}">
                                      <a16:creationId xmlns:a16="http://schemas.microsoft.com/office/drawing/2014/main" id="{028F00F4-C999-4290-BC9E-E1C71B5C5799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4455319" y="111897883"/>
                                  <a:ext cx="4690943" cy="1784990"/>
                                  <a:chOff x="4455319" y="113927529"/>
                                  <a:chExt cx="4690943" cy="1813094"/>
                                </a:xfrm>
                              </xdr:grpSpPr>
                              <xdr:sp macro="" textlink="">
                                <xdr:nvSpPr>
                                  <xdr:cNvPr id="213" name="Freeform 101">
                                    <a:extLst>
                                      <a:ext uri="{FF2B5EF4-FFF2-40B4-BE49-F238E27FC236}">
                                        <a16:creationId xmlns:a16="http://schemas.microsoft.com/office/drawing/2014/main" id="{6F644D2B-DF3E-4DEA-AFA5-4C0B551B066F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4455319" y="114429614"/>
                                    <a:ext cx="1254919" cy="278605"/>
                                  </a:xfrm>
                                  <a:custGeom>
                                    <a:avLst/>
                                    <a:gdLst>
                                      <a:gd name="connsiteX0" fmla="*/ 373856 w 1254919"/>
                                      <a:gd name="connsiteY0" fmla="*/ 278606 h 278606"/>
                                      <a:gd name="connsiteX1" fmla="*/ 1254919 w 1254919"/>
                                      <a:gd name="connsiteY1" fmla="*/ 278606 h 278606"/>
                                      <a:gd name="connsiteX2" fmla="*/ 1254919 w 1254919"/>
                                      <a:gd name="connsiteY2" fmla="*/ 0 h 278606"/>
                                      <a:gd name="connsiteX3" fmla="*/ 0 w 1254919"/>
                                      <a:gd name="connsiteY3" fmla="*/ 0 h 278606"/>
                                      <a:gd name="connsiteX4" fmla="*/ 0 w 1254919"/>
                                      <a:gd name="connsiteY4" fmla="*/ 202406 h 278606"/>
                                      <a:gd name="connsiteX5" fmla="*/ 297656 w 1254919"/>
                                      <a:gd name="connsiteY5" fmla="*/ 202406 h 278606"/>
                                      <a:gd name="connsiteX6" fmla="*/ 373856 w 1254919"/>
                                      <a:gd name="connsiteY6" fmla="*/ 278606 h 278606"/>
                                    </a:gdLst>
                                    <a:ahLst/>
                                    <a:cxnLst>
                                      <a:cxn ang="0">
                                        <a:pos x="connsiteX0" y="connsiteY0"/>
                                      </a:cxn>
                                      <a:cxn ang="0">
                                        <a:pos x="connsiteX1" y="connsiteY1"/>
                                      </a:cxn>
                                      <a:cxn ang="0">
                                        <a:pos x="connsiteX2" y="connsiteY2"/>
                                      </a:cxn>
                                      <a:cxn ang="0">
                                        <a:pos x="connsiteX3" y="connsiteY3"/>
                                      </a:cxn>
                                      <a:cxn ang="0">
                                        <a:pos x="connsiteX4" y="connsiteY4"/>
                                      </a:cxn>
                                      <a:cxn ang="0">
                                        <a:pos x="connsiteX5" y="connsiteY5"/>
                                      </a:cxn>
                                      <a:cxn ang="0">
                                        <a:pos x="connsiteX6" y="connsiteY6"/>
                                      </a:cxn>
                                    </a:cxnLst>
                                    <a:rect l="l" t="t" r="r" b="b"/>
                                    <a:pathLst>
                                      <a:path w="1254919" h="278606">
                                        <a:moveTo>
                                          <a:pt x="373856" y="278606"/>
                                        </a:moveTo>
                                        <a:lnTo>
                                          <a:pt x="1254919" y="278606"/>
                                        </a:lnTo>
                                        <a:lnTo>
                                          <a:pt x="1254919" y="0"/>
                                        </a:lnTo>
                                        <a:lnTo>
                                          <a:pt x="0" y="0"/>
                                        </a:lnTo>
                                        <a:lnTo>
                                          <a:pt x="0" y="202406"/>
                                        </a:lnTo>
                                        <a:lnTo>
                                          <a:pt x="297656" y="202406"/>
                                        </a:lnTo>
                                        <a:lnTo>
                                          <a:pt x="373856" y="278606"/>
                                        </a:lnTo>
                                        <a:close/>
                                      </a:path>
                                    </a:pathLst>
                                  </a:custGeom>
                                  <a:solidFill>
                                    <a:schemeClr val="accent6">
                                      <a:lumMod val="40000"/>
                                      <a:lumOff val="60000"/>
                                    </a:schemeClr>
                                  </a:solidFill>
                                  <a:ln w="12700"/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  <xdr:grpSp>
                                <xdr:nvGrpSpPr>
                                  <xdr:cNvPr id="214" name="그룹 26">
                                    <a:extLst>
                                      <a:ext uri="{FF2B5EF4-FFF2-40B4-BE49-F238E27FC236}">
                                        <a16:creationId xmlns:a16="http://schemas.microsoft.com/office/drawing/2014/main" id="{8645D7CB-C5A7-47CB-AF0B-F0DA218D3688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4822940" y="113927529"/>
                                    <a:ext cx="4323322" cy="1813094"/>
                                    <a:chOff x="2971800" y="-373107"/>
                                    <a:chExt cx="3759689" cy="1815394"/>
                                  </a:xfrm>
                                </xdr:grpSpPr>
                                <xdr:grpSp>
                                  <xdr:nvGrpSpPr>
                                    <xdr:cNvPr id="215" name="그룹 7">
                                      <a:extLst>
                                        <a:ext uri="{FF2B5EF4-FFF2-40B4-BE49-F238E27FC236}">
                                          <a16:creationId xmlns:a16="http://schemas.microsoft.com/office/drawing/2014/main" id="{CE4DC5A4-95FC-43A5-8564-31C49C673BA2}"/>
                                        </a:ext>
                                      </a:extLst>
                                    </xdr:cNvPr>
                                    <xdr:cNvGrpSpPr/>
                                  </xdr:nvGrpSpPr>
                                  <xdr:grpSpPr>
                                    <a:xfrm>
                                      <a:off x="2971800" y="381000"/>
                                      <a:ext cx="773686" cy="1061287"/>
                                      <a:chOff x="2971800" y="381000"/>
                                      <a:chExt cx="773686" cy="1061287"/>
                                    </a:xfrm>
                                  </xdr:grpSpPr>
                                  <xdr:cxnSp macro="">
                                    <xdr:nvCxnSpPr>
                                      <xdr:cNvPr id="217" name="직선 연결선 3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4E19342F-BE71-4C0E-8C65-34ECE0DB8DE2}"/>
                                          </a:ext>
                                        </a:extLst>
                                      </xdr:cNvPr>
                                      <xdr:cNvCxnSpPr/>
                                    </xdr:nvCxnSpPr>
                                    <xdr:spPr>
                                      <a:xfrm>
                                        <a:off x="3207515" y="1442287"/>
                                        <a:ext cx="537971" cy="0"/>
                                      </a:xfrm>
                                      <a:prstGeom prst="line">
                                        <a:avLst/>
                                      </a:prstGeom>
                                      <a:ln w="57150"/>
                                    </xdr:spPr>
                                    <xdr:style>
                                      <a:lnRef idx="1">
                                        <a:schemeClr val="accent1"/>
                                      </a:lnRef>
                                      <a:fillRef idx="0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tx1"/>
                                      </a:fontRef>
                                    </xdr:style>
                                  </xdr:cxnSp>
                                  <xdr:cxnSp macro="">
                                    <xdr:nvCxnSpPr>
                                      <xdr:cNvPr id="218" name="직선 연결선 4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6562725A-56FB-4EF5-9110-74F3F12CF77A}"/>
                                          </a:ext>
                                        </a:extLst>
                                      </xdr:cNvPr>
                                      <xdr:cNvCxnSpPr/>
                                    </xdr:nvCxnSpPr>
                                    <xdr:spPr>
                                      <a:xfrm flipH="1" flipV="1">
                                        <a:off x="3121216" y="388272"/>
                                        <a:ext cx="247294" cy="1050604"/>
                                      </a:xfrm>
                                      <a:prstGeom prst="line">
                                        <a:avLst/>
                                      </a:prstGeom>
                                      <a:ln w="57150"/>
                                    </xdr:spPr>
                                    <xdr:style>
                                      <a:lnRef idx="1">
                                        <a:schemeClr val="accent1"/>
                                      </a:lnRef>
                                      <a:fillRef idx="0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tx1"/>
                                      </a:fontRef>
                                    </xdr:style>
                                  </xdr:cxnSp>
                                  <xdr:cxnSp macro="">
                                    <xdr:nvCxnSpPr>
                                      <xdr:cNvPr id="219" name="직선 연결선 6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3A584D3F-3B4B-4715-B2DE-B8173AB9530F}"/>
                                          </a:ext>
                                        </a:extLst>
                                      </xdr:cNvPr>
                                      <xdr:cNvCxnSpPr/>
                                    </xdr:nvCxnSpPr>
                                    <xdr:spPr>
                                      <a:xfrm>
                                        <a:off x="2971800" y="381000"/>
                                        <a:ext cx="363653" cy="0"/>
                                      </a:xfrm>
                                      <a:prstGeom prst="line">
                                        <a:avLst/>
                                      </a:prstGeom>
                                      <a:ln w="57150"/>
                                    </xdr:spPr>
                                    <xdr:style>
                                      <a:lnRef idx="1">
                                        <a:schemeClr val="accent1"/>
                                      </a:lnRef>
                                      <a:fillRef idx="0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tx1"/>
                                      </a:fontRef>
                                    </xdr:style>
                                  </xdr:cxnSp>
                                </xdr:grpSp>
                                <xdr:sp macro="" textlink="">
                                  <xdr:nvSpPr>
                                    <xdr:cNvPr id="216" name="TextBox 215">
                                      <a:extLst>
                                        <a:ext uri="{FF2B5EF4-FFF2-40B4-BE49-F238E27FC236}">
                                          <a16:creationId xmlns:a16="http://schemas.microsoft.com/office/drawing/2014/main" id="{C887902F-F70D-4034-8A6B-188E8FAB752A}"/>
                                        </a:ext>
                                      </a:extLst>
                                    </xdr:cNvPr>
                                    <xdr:cNvSpPr txBox="1"/>
                                  </xdr:nvSpPr>
                                  <xdr:spPr>
                                    <a:xfrm>
                                      <a:off x="4440706" y="-373107"/>
                                      <a:ext cx="2290783" cy="285097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ctr"/>
                                    <a:lstStyle/>
                                    <a:p>
                                      <a:r>
                                        <a:rPr lang="ko-KR" altLang="en-US" sz="900"/>
                                        <a:t>정모멘트                      부모멘트</a:t>
                                      </a:r>
                                      <a:endParaRPr lang="en-US" sz="900"/>
                                    </a:p>
                                  </xdr:txBody>
                                </xdr:sp>
                              </xdr:grpSp>
                            </xdr:grpSp>
                          </xdr:grpSp>
                          <xdr:cxnSp macro="">
                            <xdr:nvCxnSpPr>
                              <xdr:cNvPr id="209" name="Straight Connector 208">
                                <a:extLst>
                                  <a:ext uri="{FF2B5EF4-FFF2-40B4-BE49-F238E27FC236}">
                                    <a16:creationId xmlns:a16="http://schemas.microsoft.com/office/drawing/2014/main" id="{F9DAF280-5FC8-4AE8-9C98-3E5B5C14D542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1318569" y="111473457"/>
                                <a:ext cx="1009511" cy="0"/>
                              </a:xfrm>
                              <a:prstGeom prst="line">
                                <a:avLst/>
                              </a:prstGeom>
                              <a:ln>
                                <a:prstDash val="sysDot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10" name="Straight Connector 209">
                                <a:extLst>
                                  <a:ext uri="{FF2B5EF4-FFF2-40B4-BE49-F238E27FC236}">
                                    <a16:creationId xmlns:a16="http://schemas.microsoft.com/office/drawing/2014/main" id="{A70F7DF2-2B1A-4E02-A4E7-3418A4747192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1316831" y="111540132"/>
                                <a:ext cx="1009511" cy="0"/>
                              </a:xfrm>
                              <a:prstGeom prst="line">
                                <a:avLst/>
                              </a:prstGeom>
                              <a:ln>
                                <a:prstDash val="sysDot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grpSp>
                          <xdr:nvGrpSpPr>
                            <xdr:cNvPr id="179" name="Group 178">
                              <a:extLst>
                                <a:ext uri="{FF2B5EF4-FFF2-40B4-BE49-F238E27FC236}">
                                  <a16:creationId xmlns:a16="http://schemas.microsoft.com/office/drawing/2014/main" id="{2F68F12F-7E5D-4AF4-849F-541DA5EC0D7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1216851" y="110808798"/>
                              <a:ext cx="3620384" cy="1106720"/>
                              <a:chOff x="1216851" y="110808798"/>
                              <a:chExt cx="3620384" cy="1106720"/>
                            </a:xfrm>
                          </xdr:grpSpPr>
                          <xdr:grpSp>
                            <xdr:nvGrpSpPr>
                              <xdr:cNvPr id="180" name="Group 179">
                                <a:extLst>
                                  <a:ext uri="{FF2B5EF4-FFF2-40B4-BE49-F238E27FC236}">
                                    <a16:creationId xmlns:a16="http://schemas.microsoft.com/office/drawing/2014/main" id="{DE9A4B5F-BBCB-4C81-97F2-C1186B6A931B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12951" y="110808798"/>
                                <a:ext cx="608229" cy="1106720"/>
                                <a:chOff x="2897716" y="111423450"/>
                                <a:chExt cx="606511" cy="1113068"/>
                              </a:xfrm>
                            </xdr:grpSpPr>
                            <xdr:cxnSp macro="">
                              <xdr:nvCxnSpPr>
                                <xdr:cNvPr id="196" name="Straight Connector 195">
                                  <a:extLst>
                                    <a:ext uri="{FF2B5EF4-FFF2-40B4-BE49-F238E27FC236}">
                                      <a16:creationId xmlns:a16="http://schemas.microsoft.com/office/drawing/2014/main" id="{133D769E-5F8E-46AF-B789-25739BD492CB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210851" y="111423450"/>
                                  <a:ext cx="0" cy="1109204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97" name="Straight Connector 196">
                                  <a:extLst>
                                    <a:ext uri="{FF2B5EF4-FFF2-40B4-BE49-F238E27FC236}">
                                      <a16:creationId xmlns:a16="http://schemas.microsoft.com/office/drawing/2014/main" id="{23406C86-7BA6-44B2-A459-4AD5144B141F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210849" y="111604425"/>
                                  <a:ext cx="293378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98" name="Straight Connector 197">
                                  <a:extLst>
                                    <a:ext uri="{FF2B5EF4-FFF2-40B4-BE49-F238E27FC236}">
                                      <a16:creationId xmlns:a16="http://schemas.microsoft.com/office/drawing/2014/main" id="{05B51201-9D81-47D1-81C3-790483019107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2897718" y="112531047"/>
                                  <a:ext cx="321816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99" name="Straight Connector 198">
                                  <a:extLst>
                                    <a:ext uri="{FF2B5EF4-FFF2-40B4-BE49-F238E27FC236}">
                                      <a16:creationId xmlns:a16="http://schemas.microsoft.com/office/drawing/2014/main" id="{0A0A1A55-AB65-4F8F-B6C2-B7B079838052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2897716" y="111610002"/>
                                  <a:ext cx="604125" cy="926516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00" name="Straight Connector 199">
                                  <a:extLst>
                                    <a:ext uri="{FF2B5EF4-FFF2-40B4-BE49-F238E27FC236}">
                                      <a16:creationId xmlns:a16="http://schemas.microsoft.com/office/drawing/2014/main" id="{8218AB79-8E4D-49DD-8648-9DBD7B438079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3332296" y="111423450"/>
                                  <a:ext cx="91914" cy="183357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01" name="Straight Connector 200">
                                  <a:extLst>
                                    <a:ext uri="{FF2B5EF4-FFF2-40B4-BE49-F238E27FC236}">
                                      <a16:creationId xmlns:a16="http://schemas.microsoft.com/office/drawing/2014/main" id="{5C43F6DC-0F99-470F-A01C-6225827799E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203466" y="111428334"/>
                                  <a:ext cx="228935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grpSp>
                              <xdr:nvGrpSpPr>
                                <xdr:cNvPr id="202" name="Group 201">
                                  <a:extLst>
                                    <a:ext uri="{FF2B5EF4-FFF2-40B4-BE49-F238E27FC236}">
                                      <a16:creationId xmlns:a16="http://schemas.microsoft.com/office/drawing/2014/main" id="{33BC6E0C-A639-474B-8F36-FB1F316423E4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3066763" y="112342031"/>
                                  <a:ext cx="100013" cy="100013"/>
                                  <a:chOff x="3066763" y="112342031"/>
                                  <a:chExt cx="100013" cy="100013"/>
                                </a:xfrm>
                              </xdr:grpSpPr>
                              <xdr:sp macro="" textlink="">
                                <xdr:nvSpPr>
                                  <xdr:cNvPr id="206" name="Plus 94">
                                    <a:extLst>
                                      <a:ext uri="{FF2B5EF4-FFF2-40B4-BE49-F238E27FC236}">
                                        <a16:creationId xmlns:a16="http://schemas.microsoft.com/office/drawing/2014/main" id="{D989AEC1-A8BF-44B0-9EBA-808FD14D3477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073908" y="112349170"/>
                                    <a:ext cx="88106" cy="88106"/>
                                  </a:xfrm>
                                  <a:prstGeom prst="mathPlus">
                                    <a:avLst>
                                      <a:gd name="adj1" fmla="val 26462"/>
                                    </a:avLst>
                                  </a:prstGeom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207" name="Oval 206">
                                    <a:extLst>
                                      <a:ext uri="{FF2B5EF4-FFF2-40B4-BE49-F238E27FC236}">
                                        <a16:creationId xmlns:a16="http://schemas.microsoft.com/office/drawing/2014/main" id="{48D720A3-C555-4FFF-BFF0-D3B3716CE752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066763" y="112342031"/>
                                    <a:ext cx="100013" cy="100013"/>
                                  </a:xfrm>
                                  <a:prstGeom prst="ellipse">
                                    <a:avLst/>
                                  </a:prstGeom>
                                  <a:noFill/>
                                  <a:ln w="6350"/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</xdr:grpSp>
                            <xdr:grpSp>
                              <xdr:nvGrpSpPr>
                                <xdr:cNvPr id="203" name="Group 202">
                                  <a:extLst>
                                    <a:ext uri="{FF2B5EF4-FFF2-40B4-BE49-F238E27FC236}">
                                      <a16:creationId xmlns:a16="http://schemas.microsoft.com/office/drawing/2014/main" id="{ED335494-52F6-4DDB-8281-8E58D733FADA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3262315" y="111687893"/>
                                  <a:ext cx="100013" cy="107156"/>
                                  <a:chOff x="3262315" y="111685512"/>
                                  <a:chExt cx="100013" cy="107156"/>
                                </a:xfrm>
                              </xdr:grpSpPr>
                              <xdr:sp macro="" textlink="">
                                <xdr:nvSpPr>
                                  <xdr:cNvPr id="204" name="Oval 203">
                                    <a:extLst>
                                      <a:ext uri="{FF2B5EF4-FFF2-40B4-BE49-F238E27FC236}">
                                        <a16:creationId xmlns:a16="http://schemas.microsoft.com/office/drawing/2014/main" id="{AA519724-1C2F-47AE-9D07-99606F0C3469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262315" y="111685512"/>
                                    <a:ext cx="100013" cy="100013"/>
                                  </a:xfrm>
                                  <a:prstGeom prst="ellipse">
                                    <a:avLst/>
                                  </a:prstGeom>
                                  <a:noFill/>
                                  <a:ln w="6350"/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205" name="Minus 93">
                                    <a:extLst>
                                      <a:ext uri="{FF2B5EF4-FFF2-40B4-BE49-F238E27FC236}">
                                        <a16:creationId xmlns:a16="http://schemas.microsoft.com/office/drawing/2014/main" id="{C27C20C4-1033-4DEE-B42D-0C972A1DC901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278982" y="111685512"/>
                                    <a:ext cx="69055" cy="107156"/>
                                  </a:xfrm>
                                  <a:prstGeom prst="mathMinus">
                                    <a:avLst/>
                                  </a:prstGeom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</xdr:grpSp>
                          </xdr:grpSp>
                          <xdr:grpSp>
                            <xdr:nvGrpSpPr>
                              <xdr:cNvPr id="181" name="Group 180">
                                <a:extLst>
                                  <a:ext uri="{FF2B5EF4-FFF2-40B4-BE49-F238E27FC236}">
                                    <a16:creationId xmlns:a16="http://schemas.microsoft.com/office/drawing/2014/main" id="{79797ACF-2C79-4E8B-81BC-90B1AB440962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4243383" y="110810598"/>
                                <a:ext cx="593852" cy="1102521"/>
                                <a:chOff x="3427708" y="111423716"/>
                                <a:chExt cx="590910" cy="1108037"/>
                              </a:xfrm>
                            </xdr:grpSpPr>
                            <xdr:cxnSp macro="">
                              <xdr:nvCxnSpPr>
                                <xdr:cNvPr id="185" name="Straight Connector 184">
                                  <a:extLst>
                                    <a:ext uri="{FF2B5EF4-FFF2-40B4-BE49-F238E27FC236}">
                                      <a16:creationId xmlns:a16="http://schemas.microsoft.com/office/drawing/2014/main" id="{6D443B8E-2A76-4FF1-8527-1C1CEA231619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718146" y="111423716"/>
                                  <a:ext cx="0" cy="1104633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86" name="Straight Connector 185">
                                  <a:extLst>
                                    <a:ext uri="{FF2B5EF4-FFF2-40B4-BE49-F238E27FC236}">
                                      <a16:creationId xmlns:a16="http://schemas.microsoft.com/office/drawing/2014/main" id="{55C8C9E5-4D73-40A9-91B3-9CC80F29BE48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431577" y="111604425"/>
                                  <a:ext cx="286576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87" name="Straight Connector 186">
                                  <a:extLst>
                                    <a:ext uri="{FF2B5EF4-FFF2-40B4-BE49-F238E27FC236}">
                                      <a16:creationId xmlns:a16="http://schemas.microsoft.com/office/drawing/2014/main" id="{9B88B2DB-4F23-40A9-A015-BA6D341D3B36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715748" y="112525968"/>
                                  <a:ext cx="299578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88" name="Straight Connector 187">
                                  <a:extLst>
                                    <a:ext uri="{FF2B5EF4-FFF2-40B4-BE49-F238E27FC236}">
                                      <a16:creationId xmlns:a16="http://schemas.microsoft.com/office/drawing/2014/main" id="{DD7231B0-3656-4F63-96B2-06D548081173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H="1" flipV="1">
                                  <a:off x="3427708" y="111601899"/>
                                  <a:ext cx="590910" cy="929854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89" name="Straight Connector 188">
                                  <a:extLst>
                                    <a:ext uri="{FF2B5EF4-FFF2-40B4-BE49-F238E27FC236}">
                                      <a16:creationId xmlns:a16="http://schemas.microsoft.com/office/drawing/2014/main" id="{61A93F8F-FE7D-43C0-9EC9-6DB2ABD21582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465006" y="111429579"/>
                                  <a:ext cx="250676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grpSp>
                              <xdr:nvGrpSpPr>
                                <xdr:cNvPr id="190" name="Group 189">
                                  <a:extLst>
                                    <a:ext uri="{FF2B5EF4-FFF2-40B4-BE49-F238E27FC236}">
                                      <a16:creationId xmlns:a16="http://schemas.microsoft.com/office/drawing/2014/main" id="{B5EBFE8C-485A-4244-A502-78D011B1B3B2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3579554" y="111680284"/>
                                  <a:ext cx="100013" cy="100013"/>
                                  <a:chOff x="3579554" y="111680284"/>
                                  <a:chExt cx="100013" cy="100013"/>
                                </a:xfrm>
                              </xdr:grpSpPr>
                              <xdr:sp macro="" textlink="">
                                <xdr:nvSpPr>
                                  <xdr:cNvPr id="194" name="Plus 82">
                                    <a:extLst>
                                      <a:ext uri="{FF2B5EF4-FFF2-40B4-BE49-F238E27FC236}">
                                        <a16:creationId xmlns:a16="http://schemas.microsoft.com/office/drawing/2014/main" id="{C30158F5-945D-46C6-8C15-66660E73EED3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586706" y="111687429"/>
                                    <a:ext cx="88106" cy="88106"/>
                                  </a:xfrm>
                                  <a:prstGeom prst="mathPlus">
                                    <a:avLst>
                                      <a:gd name="adj1" fmla="val 26462"/>
                                    </a:avLst>
                                  </a:prstGeom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195" name="Oval 194">
                                    <a:extLst>
                                      <a:ext uri="{FF2B5EF4-FFF2-40B4-BE49-F238E27FC236}">
                                        <a16:creationId xmlns:a16="http://schemas.microsoft.com/office/drawing/2014/main" id="{5D0F9620-81B9-4720-9965-AE899084F84E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579554" y="111680284"/>
                                    <a:ext cx="100013" cy="100013"/>
                                  </a:xfrm>
                                  <a:prstGeom prst="ellipse">
                                    <a:avLst/>
                                  </a:prstGeom>
                                  <a:noFill/>
                                  <a:ln w="6350"/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</xdr:grpSp>
                            <xdr:grpSp>
                              <xdr:nvGrpSpPr>
                                <xdr:cNvPr id="191" name="Group 190">
                                  <a:extLst>
                                    <a:ext uri="{FF2B5EF4-FFF2-40B4-BE49-F238E27FC236}">
                                      <a16:creationId xmlns:a16="http://schemas.microsoft.com/office/drawing/2014/main" id="{99CA8026-5E8E-451E-B7A9-B00E433A3553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3769999" y="112351117"/>
                                  <a:ext cx="100013" cy="107156"/>
                                  <a:chOff x="3769999" y="112348736"/>
                                  <a:chExt cx="100013" cy="107156"/>
                                </a:xfrm>
                              </xdr:grpSpPr>
                              <xdr:sp macro="" textlink="">
                                <xdr:nvSpPr>
                                  <xdr:cNvPr id="192" name="Oval 191">
                                    <a:extLst>
                                      <a:ext uri="{FF2B5EF4-FFF2-40B4-BE49-F238E27FC236}">
                                        <a16:creationId xmlns:a16="http://schemas.microsoft.com/office/drawing/2014/main" id="{31F953A9-07D0-4759-9A1A-30DBAC491BEA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769999" y="112348736"/>
                                    <a:ext cx="100013" cy="100013"/>
                                  </a:xfrm>
                                  <a:prstGeom prst="ellipse">
                                    <a:avLst/>
                                  </a:prstGeom>
                                  <a:noFill/>
                                  <a:ln w="6350"/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193" name="Minus 81">
                                    <a:extLst>
                                      <a:ext uri="{FF2B5EF4-FFF2-40B4-BE49-F238E27FC236}">
                                        <a16:creationId xmlns:a16="http://schemas.microsoft.com/office/drawing/2014/main" id="{4082F7C0-4B57-4084-A598-F1328DB09B3D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786676" y="112348736"/>
                                    <a:ext cx="69055" cy="107156"/>
                                  </a:xfrm>
                                  <a:prstGeom prst="mathMinus">
                                    <a:avLst/>
                                  </a:prstGeom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</xdr:grpSp>
                          </xdr:grpSp>
                          <xdr:cxnSp macro="">
                            <xdr:nvCxnSpPr>
                              <xdr:cNvPr id="182" name="Straight Connector 181">
                                <a:extLst>
                                  <a:ext uri="{FF2B5EF4-FFF2-40B4-BE49-F238E27FC236}">
                                    <a16:creationId xmlns:a16="http://schemas.microsoft.com/office/drawing/2014/main" id="{20BA174A-3100-4843-AC15-B85852624F15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1227730" y="111907967"/>
                                <a:ext cx="3312704" cy="0"/>
                              </a:xfrm>
                              <a:prstGeom prst="line">
                                <a:avLst/>
                              </a:prstGeom>
                              <a:ln w="3175">
                                <a:prstDash val="sysDash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83" name="Straight Connector 182">
                                <a:extLst>
                                  <a:ext uri="{FF2B5EF4-FFF2-40B4-BE49-F238E27FC236}">
                                    <a16:creationId xmlns:a16="http://schemas.microsoft.com/office/drawing/2014/main" id="{86C44DBE-3570-4652-BE51-D5F187D1ADEA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1216851" y="110991350"/>
                                <a:ext cx="3070644" cy="0"/>
                              </a:xfrm>
                              <a:prstGeom prst="line">
                                <a:avLst/>
                              </a:prstGeom>
                              <a:ln w="3175">
                                <a:prstDash val="sysDash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84" name="Straight Connector 183">
                                <a:extLst>
                                  <a:ext uri="{FF2B5EF4-FFF2-40B4-BE49-F238E27FC236}">
                                    <a16:creationId xmlns:a16="http://schemas.microsoft.com/office/drawing/2014/main" id="{2E74B3A3-3AD6-4020-B9B7-A2EE530EAF08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2307856" y="110813609"/>
                                <a:ext cx="1975510" cy="0"/>
                              </a:xfrm>
                              <a:prstGeom prst="line">
                                <a:avLst/>
                              </a:prstGeom>
                              <a:ln w="3175">
                                <a:prstDash val="sysDash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</xdr:grpSp>
                    </xdr:grpSp>
                    <xdr:grpSp>
                      <xdr:nvGrpSpPr>
                        <xdr:cNvPr id="170" name="Group 169">
                          <a:extLst>
                            <a:ext uri="{FF2B5EF4-FFF2-40B4-BE49-F238E27FC236}">
                              <a16:creationId xmlns:a16="http://schemas.microsoft.com/office/drawing/2014/main" id="{5C1246C1-326F-4795-9063-B729449ABF2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2047877" y="111697293"/>
                          <a:ext cx="2309172" cy="1138239"/>
                          <a:chOff x="2047877" y="111697293"/>
                          <a:chExt cx="2309172" cy="1138239"/>
                        </a:xfrm>
                      </xdr:grpSpPr>
                      <xdr:sp macro="" textlink="">
                        <xdr:nvSpPr>
                          <xdr:cNvPr id="171" name="TextBox 170">
                            <a:extLst>
                              <a:ext uri="{FF2B5EF4-FFF2-40B4-BE49-F238E27FC236}">
                                <a16:creationId xmlns:a16="http://schemas.microsoft.com/office/drawing/2014/main" id="{913EA51F-A116-4D85-9F29-75F4DA037D8A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2047877" y="112661701"/>
                            <a:ext cx="321468" cy="173831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sz="9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f</a:t>
                            </a:r>
                            <a:r>
                              <a:rPr lang="en-US" sz="7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t</a:t>
                            </a:r>
                            <a:endParaRPr lang="en-US" sz="900"/>
                          </a:p>
                        </xdr:txBody>
                      </xdr:sp>
                      <xdr:sp macro="" textlink="">
                        <xdr:nvSpPr>
                          <xdr:cNvPr id="172" name="TextBox 171">
                            <a:extLst>
                              <a:ext uri="{FF2B5EF4-FFF2-40B4-BE49-F238E27FC236}">
                                <a16:creationId xmlns:a16="http://schemas.microsoft.com/office/drawing/2014/main" id="{48812394-E436-4AFE-B403-73198C15B489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2740818" y="111697293"/>
                            <a:ext cx="362453" cy="183323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sz="9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f</a:t>
                            </a:r>
                            <a:r>
                              <a:rPr lang="en-US" sz="7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c</a:t>
                            </a:r>
                            <a:endParaRPr lang="en-US" sz="900"/>
                          </a:p>
                        </xdr:txBody>
                      </xdr:sp>
                      <xdr:sp macro="" textlink="">
                        <xdr:nvSpPr>
                          <xdr:cNvPr id="173" name="TextBox 172">
                            <a:extLst>
                              <a:ext uri="{FF2B5EF4-FFF2-40B4-BE49-F238E27FC236}">
                                <a16:creationId xmlns:a16="http://schemas.microsoft.com/office/drawing/2014/main" id="{8448E7EF-3238-4103-BC5F-50DFA9EDE95D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3353970" y="111700108"/>
                            <a:ext cx="269736" cy="178593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sz="9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f</a:t>
                            </a:r>
                            <a:r>
                              <a:rPr lang="en-US" sz="7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t</a:t>
                            </a:r>
                            <a:endParaRPr lang="en-US" sz="900"/>
                          </a:p>
                        </xdr:txBody>
                      </xdr:sp>
                      <xdr:sp macro="" textlink="">
                        <xdr:nvSpPr>
                          <xdr:cNvPr id="174" name="TextBox 173">
                            <a:extLst>
                              <a:ext uri="{FF2B5EF4-FFF2-40B4-BE49-F238E27FC236}">
                                <a16:creationId xmlns:a16="http://schemas.microsoft.com/office/drawing/2014/main" id="{2E0E320F-5A79-4DF7-AA23-4869A82BA1BD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041538" y="112592645"/>
                            <a:ext cx="315511" cy="173831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sz="9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f</a:t>
                            </a:r>
                            <a:r>
                              <a:rPr lang="en-US" sz="7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c</a:t>
                            </a:r>
                            <a:endParaRPr lang="en-US" sz="900"/>
                          </a:p>
                        </xdr:txBody>
                      </xdr:sp>
                    </xdr:grpSp>
                  </xdr:grpSp>
                  <xdr:grpSp>
                    <xdr:nvGrpSpPr>
                      <xdr:cNvPr id="166" name="Group 165">
                        <a:extLst>
                          <a:ext uri="{FF2B5EF4-FFF2-40B4-BE49-F238E27FC236}">
                            <a16:creationId xmlns:a16="http://schemas.microsoft.com/office/drawing/2014/main" id="{9568BB8C-E60A-44BE-B052-9598773A2E1B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2391353" y="5094828"/>
                        <a:ext cx="99748" cy="107468"/>
                        <a:chOff x="2728915" y="5348654"/>
                        <a:chExt cx="99748" cy="107468"/>
                      </a:xfrm>
                    </xdr:grpSpPr>
                    <xdr:sp macro="" textlink="">
                      <xdr:nvSpPr>
                        <xdr:cNvPr id="167" name="Oval 166">
                          <a:extLst>
                            <a:ext uri="{FF2B5EF4-FFF2-40B4-BE49-F238E27FC236}">
                              <a16:creationId xmlns:a16="http://schemas.microsoft.com/office/drawing/2014/main" id="{C630FE24-0520-422D-85A9-A7FCE04C13E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728915" y="5348654"/>
                          <a:ext cx="99748" cy="100304"/>
                        </a:xfrm>
                        <a:prstGeom prst="ellipse">
                          <a:avLst/>
                        </a:prstGeom>
                        <a:noFill/>
                        <a:ln w="635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sp macro="" textlink="">
                      <xdr:nvSpPr>
                        <xdr:cNvPr id="168" name="Minus 36">
                          <a:extLst>
                            <a:ext uri="{FF2B5EF4-FFF2-40B4-BE49-F238E27FC236}">
                              <a16:creationId xmlns:a16="http://schemas.microsoft.com/office/drawing/2014/main" id="{F739F16E-2EC4-4BAF-99E5-A57AB9C08072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745539" y="5348654"/>
                          <a:ext cx="68872" cy="107468"/>
                        </a:xfrm>
                        <a:prstGeom prst="mathMinus">
                          <a:avLst/>
                        </a:prstGeom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</xdr:grpSp>
                </xdr:grpSp>
                <xdr:cxnSp macro="">
                  <xdr:nvCxnSpPr>
                    <xdr:cNvPr id="160" name="Straight Connector 159">
                      <a:extLst>
                        <a:ext uri="{FF2B5EF4-FFF2-40B4-BE49-F238E27FC236}">
                          <a16:creationId xmlns:a16="http://schemas.microsoft.com/office/drawing/2014/main" id="{D92FF7C9-C42D-4DC1-892B-383E505EFAB9}"/>
                        </a:ext>
                      </a:extLst>
                    </xdr:cNvPr>
                    <xdr:cNvCxnSpPr/>
                  </xdr:nvCxnSpPr>
                  <xdr:spPr>
                    <a:xfrm>
                      <a:off x="9165592" y="22477898"/>
                      <a:ext cx="0" cy="458302"/>
                    </a:xfrm>
                    <a:prstGeom prst="line">
                      <a:avLst/>
                    </a:prstGeom>
                    <a:ln w="3175">
                      <a:headEnd type="oval" w="sm" len="sm"/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61" name="TextBox 160">
                      <a:extLst>
                        <a:ext uri="{FF2B5EF4-FFF2-40B4-BE49-F238E27FC236}">
                          <a16:creationId xmlns:a16="http://schemas.microsoft.com/office/drawing/2014/main" id="{43241233-58DC-4963-9B21-D32135B7FF91}"/>
                        </a:ext>
                      </a:extLst>
                    </xdr:cNvPr>
                    <xdr:cNvSpPr txBox="1"/>
                  </xdr:nvSpPr>
                  <xdr:spPr>
                    <a:xfrm>
                      <a:off x="8921293" y="22626297"/>
                      <a:ext cx="321468" cy="17383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 panose="020B0503020000020004" pitchFamily="50" charset="-127"/>
                          <a:ea typeface="맑은 고딕" panose="020B0503020000020004" pitchFamily="50" charset="-127"/>
                        </a:rPr>
                        <a:t>D</a:t>
                      </a:r>
                      <a:r>
                        <a:rPr lang="en-US" sz="700">
                          <a:latin typeface="맑은 고딕" panose="020B0503020000020004" pitchFamily="50" charset="-127"/>
                          <a:ea typeface="맑은 고딕" panose="020B0503020000020004" pitchFamily="50" charset="-127"/>
                        </a:rPr>
                        <a:t>c</a:t>
                      </a:r>
                      <a:endParaRPr lang="en-US" sz="700"/>
                    </a:p>
                  </xdr:txBody>
                </xdr:sp>
                <xdr:cxnSp macro="">
                  <xdr:nvCxnSpPr>
                    <xdr:cNvPr id="162" name="Straight Connector 161">
                      <a:extLst>
                        <a:ext uri="{FF2B5EF4-FFF2-40B4-BE49-F238E27FC236}">
                          <a16:creationId xmlns:a16="http://schemas.microsoft.com/office/drawing/2014/main" id="{54F28068-3F8C-4A16-8379-8F10C8237F16}"/>
                        </a:ext>
                      </a:extLst>
                    </xdr:cNvPr>
                    <xdr:cNvCxnSpPr/>
                  </xdr:nvCxnSpPr>
                  <xdr:spPr>
                    <a:xfrm>
                      <a:off x="8460581" y="22526625"/>
                      <a:ext cx="702994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3" name="Straight Connector 162">
                      <a:extLst>
                        <a:ext uri="{FF2B5EF4-FFF2-40B4-BE49-F238E27FC236}">
                          <a16:creationId xmlns:a16="http://schemas.microsoft.com/office/drawing/2014/main" id="{F0062910-23B1-43D7-BC1F-3966F39DF28E}"/>
                        </a:ext>
                      </a:extLst>
                    </xdr:cNvPr>
                    <xdr:cNvCxnSpPr/>
                  </xdr:nvCxnSpPr>
                  <xdr:spPr>
                    <a:xfrm>
                      <a:off x="7379454" y="22474238"/>
                      <a:ext cx="0" cy="926306"/>
                    </a:xfrm>
                    <a:prstGeom prst="line">
                      <a:avLst/>
                    </a:prstGeom>
                    <a:ln w="3175">
                      <a:headEnd type="oval" w="sm" len="sm"/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64" name="TextBox 163">
                      <a:extLst>
                        <a:ext uri="{FF2B5EF4-FFF2-40B4-BE49-F238E27FC236}">
                          <a16:creationId xmlns:a16="http://schemas.microsoft.com/office/drawing/2014/main" id="{2E73EC44-B6B7-47F5-9B59-AA7E522F5CAD}"/>
                        </a:ext>
                      </a:extLst>
                    </xdr:cNvPr>
                    <xdr:cNvSpPr txBox="1"/>
                  </xdr:nvSpPr>
                  <xdr:spPr>
                    <a:xfrm>
                      <a:off x="7206917" y="22813057"/>
                      <a:ext cx="321468" cy="17383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 panose="020B0503020000020004" pitchFamily="50" charset="-127"/>
                          <a:ea typeface="맑은 고딕" panose="020B0503020000020004" pitchFamily="50" charset="-127"/>
                        </a:rPr>
                        <a:t>d</a:t>
                      </a:r>
                      <a:endParaRPr lang="en-US" sz="700"/>
                    </a:p>
                  </xdr:txBody>
                </xdr:sp>
              </xdr:grpSp>
              <xdr:cxnSp macro="">
                <xdr:nvCxnSpPr>
                  <xdr:cNvPr id="156" name="Straight Connector 155">
                    <a:extLst>
                      <a:ext uri="{FF2B5EF4-FFF2-40B4-BE49-F238E27FC236}">
                        <a16:creationId xmlns:a16="http://schemas.microsoft.com/office/drawing/2014/main" id="{47963379-3A20-41B8-BC0D-7D6535B620D5}"/>
                      </a:ext>
                    </a:extLst>
                  </xdr:cNvPr>
                  <xdr:cNvCxnSpPr/>
                </xdr:nvCxnSpPr>
                <xdr:spPr>
                  <a:xfrm>
                    <a:off x="10371968" y="22805881"/>
                    <a:ext cx="0" cy="464248"/>
                  </a:xfrm>
                  <a:prstGeom prst="line">
                    <a:avLst/>
                  </a:prstGeom>
                  <a:ln w="3175">
                    <a:headEnd type="oval" w="sm" len="sm"/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57" name="Straight Connector 156">
                    <a:extLst>
                      <a:ext uri="{FF2B5EF4-FFF2-40B4-BE49-F238E27FC236}">
                        <a16:creationId xmlns:a16="http://schemas.microsoft.com/office/drawing/2014/main" id="{DD021A7A-588C-431D-9A11-F470BEA7B0B5}"/>
                      </a:ext>
                    </a:extLst>
                  </xdr:cNvPr>
                  <xdr:cNvCxnSpPr/>
                </xdr:nvCxnSpPr>
                <xdr:spPr>
                  <a:xfrm>
                    <a:off x="8480497" y="23214482"/>
                    <a:ext cx="1894176" cy="0"/>
                  </a:xfrm>
                  <a:prstGeom prst="line">
                    <a:avLst/>
                  </a:prstGeom>
                  <a:ln w="3175">
                    <a:prstDash val="sysDash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58" name="TextBox 157">
                    <a:extLst>
                      <a:ext uri="{FF2B5EF4-FFF2-40B4-BE49-F238E27FC236}">
                        <a16:creationId xmlns:a16="http://schemas.microsoft.com/office/drawing/2014/main" id="{74674058-B7BA-4652-A940-3EC35A29CFEC}"/>
                      </a:ext>
                    </a:extLst>
                  </xdr:cNvPr>
                  <xdr:cNvSpPr txBox="1"/>
                </xdr:nvSpPr>
                <xdr:spPr>
                  <a:xfrm>
                    <a:off x="10141961" y="22922237"/>
                    <a:ext cx="321594" cy="17283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D</a:t>
                    </a:r>
                    <a:r>
                      <a:rPr lang="en-US" sz="7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c</a:t>
                    </a:r>
                    <a:endParaRPr lang="en-US" sz="700"/>
                  </a:p>
                </xdr:txBody>
              </xdr:sp>
            </xdr:grpSp>
            <xdr:cxnSp macro="">
              <xdr:nvCxnSpPr>
                <xdr:cNvPr id="153" name="Straight Connector 152">
                  <a:extLst>
                    <a:ext uri="{FF2B5EF4-FFF2-40B4-BE49-F238E27FC236}">
                      <a16:creationId xmlns:a16="http://schemas.microsoft.com/office/drawing/2014/main" id="{76FD74A5-6A77-46B1-9C03-BBCD884EE7EF}"/>
                    </a:ext>
                  </a:extLst>
                </xdr:cNvPr>
                <xdr:cNvCxnSpPr/>
              </xdr:nvCxnSpPr>
              <xdr:spPr>
                <a:xfrm>
                  <a:off x="2578894" y="22693313"/>
                  <a:ext cx="0" cy="159543"/>
                </a:xfrm>
                <a:prstGeom prst="line">
                  <a:avLst/>
                </a:prstGeom>
                <a:ln w="3175">
                  <a:headEnd type="none" w="sm" len="sm"/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4" name="TextBox 153">
                  <a:extLst>
                    <a:ext uri="{FF2B5EF4-FFF2-40B4-BE49-F238E27FC236}">
                      <a16:creationId xmlns:a16="http://schemas.microsoft.com/office/drawing/2014/main" id="{84864626-D52F-48FF-8E89-F15B86C3B24A}"/>
                    </a:ext>
                  </a:extLst>
                </xdr:cNvPr>
                <xdr:cNvSpPr txBox="1"/>
              </xdr:nvSpPr>
              <xdr:spPr>
                <a:xfrm>
                  <a:off x="2331243" y="22633782"/>
                  <a:ext cx="317489" cy="17376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 panose="020B0503020000020004" pitchFamily="50" charset="-127"/>
                      <a:ea typeface="맑은 고딕" panose="020B0503020000020004" pitchFamily="50" charset="-127"/>
                    </a:rPr>
                    <a:t>t</a:t>
                  </a:r>
                  <a:r>
                    <a:rPr lang="en-US" sz="700">
                      <a:latin typeface="맑은 고딕" panose="020B0503020000020004" pitchFamily="50" charset="-127"/>
                      <a:ea typeface="맑은 고딕" panose="020B0503020000020004" pitchFamily="50" charset="-127"/>
                    </a:rPr>
                    <a:t>fc</a:t>
                  </a:r>
                  <a:endParaRPr lang="en-US" sz="700"/>
                </a:p>
              </xdr:txBody>
            </xdr:sp>
          </xdr:grpSp>
          <xdr:cxnSp macro="">
            <xdr:nvCxnSpPr>
              <xdr:cNvPr id="150" name="Straight Connector 149">
                <a:extLst>
                  <a:ext uri="{FF2B5EF4-FFF2-40B4-BE49-F238E27FC236}">
                    <a16:creationId xmlns:a16="http://schemas.microsoft.com/office/drawing/2014/main" id="{F14DCBC1-C5EF-4D5E-B2AA-F5F91B49E510}"/>
                  </a:ext>
                </a:extLst>
              </xdr:cNvPr>
              <xdr:cNvCxnSpPr/>
            </xdr:nvCxnSpPr>
            <xdr:spPr>
              <a:xfrm>
                <a:off x="3767138" y="23672006"/>
                <a:ext cx="0" cy="219075"/>
              </a:xfrm>
              <a:prstGeom prst="line">
                <a:avLst/>
              </a:prstGeom>
              <a:ln w="3175">
                <a:headEnd type="oval" w="sm" len="sm"/>
                <a:tailEnd type="none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51" name="TextBox 150">
                <a:extLst>
                  <a:ext uri="{FF2B5EF4-FFF2-40B4-BE49-F238E27FC236}">
                    <a16:creationId xmlns:a16="http://schemas.microsoft.com/office/drawing/2014/main" id="{E0C2704B-8CB6-4B88-A076-C8F03ECC0585}"/>
                  </a:ext>
                </a:extLst>
              </xdr:cNvPr>
              <xdr:cNvSpPr txBox="1"/>
            </xdr:nvSpPr>
            <xdr:spPr>
              <a:xfrm>
                <a:off x="3538538" y="23719630"/>
                <a:ext cx="317489" cy="17376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 panose="020B0503020000020004" pitchFamily="50" charset="-127"/>
                    <a:ea typeface="맑은 고딕" panose="020B0503020000020004" pitchFamily="50" charset="-127"/>
                  </a:rPr>
                  <a:t>t</a:t>
                </a:r>
                <a:r>
                  <a:rPr lang="en-US" sz="700">
                    <a:latin typeface="맑은 고딕" panose="020B0503020000020004" pitchFamily="50" charset="-127"/>
                    <a:ea typeface="맑은 고딕" panose="020B0503020000020004" pitchFamily="50" charset="-127"/>
                  </a:rPr>
                  <a:t>fc</a:t>
                </a:r>
                <a:endParaRPr lang="en-US" sz="700"/>
              </a:p>
            </xdr:txBody>
          </xdr:sp>
        </xdr:grpSp>
        <xdr:cxnSp macro="">
          <xdr:nvCxnSpPr>
            <xdr:cNvPr id="145" name="Straight Connector 144">
              <a:extLst>
                <a:ext uri="{FF2B5EF4-FFF2-40B4-BE49-F238E27FC236}">
                  <a16:creationId xmlns:a16="http://schemas.microsoft.com/office/drawing/2014/main" id="{4A2591CC-DEBD-45AC-AB60-5CD77732E42B}"/>
                </a:ext>
              </a:extLst>
            </xdr:cNvPr>
            <xdr:cNvCxnSpPr/>
          </xdr:nvCxnSpPr>
          <xdr:spPr>
            <a:xfrm flipH="1" flipV="1">
              <a:off x="3814555" y="22739710"/>
              <a:ext cx="111773" cy="179208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46" name="Group 145">
              <a:extLst>
                <a:ext uri="{FF2B5EF4-FFF2-40B4-BE49-F238E27FC236}">
                  <a16:creationId xmlns:a16="http://schemas.microsoft.com/office/drawing/2014/main" id="{0DDCFDFD-C200-4E88-95E2-EC9F03A1AF6F}"/>
                </a:ext>
              </a:extLst>
            </xdr:cNvPr>
            <xdr:cNvGrpSpPr/>
          </xdr:nvGrpSpPr>
          <xdr:grpSpPr>
            <a:xfrm>
              <a:off x="3920470" y="22776533"/>
              <a:ext cx="98724" cy="100588"/>
              <a:chOff x="4286250" y="22594871"/>
              <a:chExt cx="98724" cy="100588"/>
            </a:xfrm>
          </xdr:grpSpPr>
          <xdr:sp macro="" textlink="">
            <xdr:nvSpPr>
              <xdr:cNvPr id="147" name="Plus 169">
                <a:extLst>
                  <a:ext uri="{FF2B5EF4-FFF2-40B4-BE49-F238E27FC236}">
                    <a16:creationId xmlns:a16="http://schemas.microsoft.com/office/drawing/2014/main" id="{457F586D-067B-4E74-8368-ED6BC3E66A03}"/>
                  </a:ext>
                </a:extLst>
              </xdr:cNvPr>
              <xdr:cNvSpPr/>
            </xdr:nvSpPr>
            <xdr:spPr>
              <a:xfrm>
                <a:off x="4293310" y="22602057"/>
                <a:ext cx="86970" cy="88613"/>
              </a:xfrm>
              <a:prstGeom prst="mathPlus">
                <a:avLst>
                  <a:gd name="adj1" fmla="val 26462"/>
                </a:avLst>
              </a:prstGeom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48" name="Oval 147">
                <a:extLst>
                  <a:ext uri="{FF2B5EF4-FFF2-40B4-BE49-F238E27FC236}">
                    <a16:creationId xmlns:a16="http://schemas.microsoft.com/office/drawing/2014/main" id="{DEEFBCE4-E83D-44DF-9095-54D9C526B27B}"/>
                  </a:ext>
                </a:extLst>
              </xdr:cNvPr>
              <xdr:cNvSpPr/>
            </xdr:nvSpPr>
            <xdr:spPr>
              <a:xfrm>
                <a:off x="4286250" y="22594871"/>
                <a:ext cx="98724" cy="100588"/>
              </a:xfrm>
              <a:prstGeom prst="ellipse">
                <a:avLst/>
              </a:prstGeom>
              <a:noFill/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</xdr:grpSp>
      <xdr:sp macro="" textlink="">
        <xdr:nvSpPr>
          <xdr:cNvPr id="142" name="TextBox 141">
            <a:extLst>
              <a:ext uri="{FF2B5EF4-FFF2-40B4-BE49-F238E27FC236}">
                <a16:creationId xmlns:a16="http://schemas.microsoft.com/office/drawing/2014/main" id="{099FBB47-6467-4169-9E58-864D6551CBB7}"/>
              </a:ext>
            </a:extLst>
          </xdr:cNvPr>
          <xdr:cNvSpPr txBox="1"/>
        </xdr:nvSpPr>
        <xdr:spPr>
          <a:xfrm>
            <a:off x="2906598" y="22553137"/>
            <a:ext cx="400148" cy="184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맑은 고딕" panose="020B0503020000020004" pitchFamily="50" charset="-127"/>
                <a:ea typeface="맑은 고딕" panose="020B0503020000020004" pitchFamily="50" charset="-127"/>
              </a:rPr>
              <a:t>f</a:t>
            </a:r>
            <a:r>
              <a:rPr lang="en-US" sz="700">
                <a:latin typeface="맑은 고딕" panose="020B0503020000020004" pitchFamily="50" charset="-127"/>
                <a:ea typeface="맑은 고딕" panose="020B0503020000020004" pitchFamily="50" charset="-127"/>
              </a:rPr>
              <a:t>con</a:t>
            </a:r>
            <a:endParaRPr lang="en-US" sz="900"/>
          </a:p>
        </xdr:txBody>
      </xdr:sp>
      <xdr:sp macro="" textlink="">
        <xdr:nvSpPr>
          <xdr:cNvPr id="143" name="TextBox 142">
            <a:extLst>
              <a:ext uri="{FF2B5EF4-FFF2-40B4-BE49-F238E27FC236}">
                <a16:creationId xmlns:a16="http://schemas.microsoft.com/office/drawing/2014/main" id="{F5E6B998-7C2F-425C-8A83-8C44470690CC}"/>
              </a:ext>
            </a:extLst>
          </xdr:cNvPr>
          <xdr:cNvSpPr txBox="1"/>
        </xdr:nvSpPr>
        <xdr:spPr>
          <a:xfrm>
            <a:off x="3652887" y="22560503"/>
            <a:ext cx="400148" cy="184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맑은 고딕" panose="020B0503020000020004" pitchFamily="50" charset="-127"/>
                <a:ea typeface="맑은 고딕" panose="020B0503020000020004" pitchFamily="50" charset="-127"/>
              </a:rPr>
              <a:t>f</a:t>
            </a:r>
            <a:r>
              <a:rPr lang="en-US" sz="700">
                <a:latin typeface="맑은 고딕" panose="020B0503020000020004" pitchFamily="50" charset="-127"/>
                <a:ea typeface="맑은 고딕" panose="020B0503020000020004" pitchFamily="50" charset="-127"/>
              </a:rPr>
              <a:t>con</a:t>
            </a:r>
            <a:endParaRPr lang="en-US" sz="9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134</xdr:row>
      <xdr:rowOff>0</xdr:rowOff>
    </xdr:from>
    <xdr:to>
      <xdr:col>13</xdr:col>
      <xdr:colOff>361950</xdr:colOff>
      <xdr:row>140</xdr:row>
      <xdr:rowOff>72078</xdr:rowOff>
    </xdr:to>
    <xdr:grpSp>
      <xdr:nvGrpSpPr>
        <xdr:cNvPr id="82" name="그룹 59">
          <a:extLst>
            <a:ext uri="{FF2B5EF4-FFF2-40B4-BE49-F238E27FC236}">
              <a16:creationId xmlns:a16="http://schemas.microsoft.com/office/drawing/2014/main" id="{44E8FE24-A73D-40AC-8420-3F94E64994CE}"/>
            </a:ext>
          </a:extLst>
        </xdr:cNvPr>
        <xdr:cNvGrpSpPr/>
      </xdr:nvGrpSpPr>
      <xdr:grpSpPr>
        <a:xfrm>
          <a:off x="4391025" y="11096626"/>
          <a:ext cx="1666875" cy="1148402"/>
          <a:chOff x="538689" y="21665334"/>
          <a:chExt cx="2549636" cy="1147041"/>
        </a:xfrm>
      </xdr:grpSpPr>
      <xdr:grpSp>
        <xdr:nvGrpSpPr>
          <xdr:cNvPr id="83" name="그룹 17">
            <a:extLst>
              <a:ext uri="{FF2B5EF4-FFF2-40B4-BE49-F238E27FC236}">
                <a16:creationId xmlns:a16="http://schemas.microsoft.com/office/drawing/2014/main" id="{245153F4-BB7F-415E-81C7-5B47792B8AA1}"/>
              </a:ext>
            </a:extLst>
          </xdr:cNvPr>
          <xdr:cNvGrpSpPr/>
        </xdr:nvGrpSpPr>
        <xdr:grpSpPr>
          <a:xfrm>
            <a:off x="538689" y="21665334"/>
            <a:ext cx="2549636" cy="1147041"/>
            <a:chOff x="7369117" y="21360533"/>
            <a:chExt cx="2554649" cy="1191207"/>
          </a:xfrm>
        </xdr:grpSpPr>
        <xdr:grpSp>
          <xdr:nvGrpSpPr>
            <xdr:cNvPr id="85" name="그룹 112">
              <a:extLst>
                <a:ext uri="{FF2B5EF4-FFF2-40B4-BE49-F238E27FC236}">
                  <a16:creationId xmlns:a16="http://schemas.microsoft.com/office/drawing/2014/main" id="{9E1E675A-EEDC-4DF2-82C3-527A520D7528}"/>
                </a:ext>
              </a:extLst>
            </xdr:cNvPr>
            <xdr:cNvGrpSpPr/>
          </xdr:nvGrpSpPr>
          <xdr:grpSpPr>
            <a:xfrm>
              <a:off x="7369117" y="21360533"/>
              <a:ext cx="2554649" cy="1191207"/>
              <a:chOff x="3519929" y="6330476"/>
              <a:chExt cx="2552996" cy="1317327"/>
            </a:xfrm>
          </xdr:grpSpPr>
          <xdr:grpSp>
            <xdr:nvGrpSpPr>
              <xdr:cNvPr id="90" name="그룹 176">
                <a:extLst>
                  <a:ext uri="{FF2B5EF4-FFF2-40B4-BE49-F238E27FC236}">
                    <a16:creationId xmlns:a16="http://schemas.microsoft.com/office/drawing/2014/main" id="{A15C2236-F134-49CC-B49E-BB01ABA3567B}"/>
                  </a:ext>
                </a:extLst>
              </xdr:cNvPr>
              <xdr:cNvGrpSpPr/>
            </xdr:nvGrpSpPr>
            <xdr:grpSpPr>
              <a:xfrm>
                <a:off x="3519929" y="6330476"/>
                <a:ext cx="2552996" cy="1317327"/>
                <a:chOff x="7186610" y="1304919"/>
                <a:chExt cx="2551899" cy="1318468"/>
              </a:xfrm>
            </xdr:grpSpPr>
            <xdr:sp macro="" textlink="">
              <xdr:nvSpPr>
                <xdr:cNvPr id="99" name="자유형 179">
                  <a:extLst>
                    <a:ext uri="{FF2B5EF4-FFF2-40B4-BE49-F238E27FC236}">
                      <a16:creationId xmlns:a16="http://schemas.microsoft.com/office/drawing/2014/main" id="{784AA31B-53B4-4E75-A578-5C3C9AE451F6}"/>
                    </a:ext>
                  </a:extLst>
                </xdr:cNvPr>
                <xdr:cNvSpPr/>
              </xdr:nvSpPr>
              <xdr:spPr>
                <a:xfrm>
                  <a:off x="7186610" y="1304919"/>
                  <a:ext cx="2551899" cy="281934"/>
                </a:xfrm>
                <a:custGeom>
                  <a:avLst/>
                  <a:gdLst>
                    <a:gd name="connsiteX0" fmla="*/ 270761 w 2267627"/>
                    <a:gd name="connsiteY0" fmla="*/ 169226 h 234499"/>
                    <a:gd name="connsiteX1" fmla="*/ 0 w 2267627"/>
                    <a:gd name="connsiteY1" fmla="*/ 169226 h 234499"/>
                    <a:gd name="connsiteX2" fmla="*/ 0 w 2267627"/>
                    <a:gd name="connsiteY2" fmla="*/ 0 h 234499"/>
                    <a:gd name="connsiteX3" fmla="*/ 2267627 w 2267627"/>
                    <a:gd name="connsiteY3" fmla="*/ 0 h 234499"/>
                    <a:gd name="connsiteX4" fmla="*/ 2267627 w 2267627"/>
                    <a:gd name="connsiteY4" fmla="*/ 164391 h 234499"/>
                    <a:gd name="connsiteX5" fmla="*/ 1996865 w 2267627"/>
                    <a:gd name="connsiteY5" fmla="*/ 164391 h 234499"/>
                    <a:gd name="connsiteX6" fmla="*/ 1926757 w 2267627"/>
                    <a:gd name="connsiteY6" fmla="*/ 234499 h 234499"/>
                    <a:gd name="connsiteX7" fmla="*/ 336034 w 2267627"/>
                    <a:gd name="connsiteY7" fmla="*/ 234499 h 234499"/>
                    <a:gd name="connsiteX8" fmla="*/ 270761 w 2267627"/>
                    <a:gd name="connsiteY8" fmla="*/ 169226 h 23449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</a:cxnLst>
                  <a:rect l="l" t="t" r="r" b="b"/>
                  <a:pathLst>
                    <a:path w="2267627" h="234499">
                      <a:moveTo>
                        <a:pt x="270761" y="169226"/>
                      </a:moveTo>
                      <a:lnTo>
                        <a:pt x="0" y="169226"/>
                      </a:lnTo>
                      <a:lnTo>
                        <a:pt x="0" y="0"/>
                      </a:lnTo>
                      <a:lnTo>
                        <a:pt x="2267627" y="0"/>
                      </a:lnTo>
                      <a:lnTo>
                        <a:pt x="2267627" y="164391"/>
                      </a:lnTo>
                      <a:lnTo>
                        <a:pt x="1996865" y="164391"/>
                      </a:lnTo>
                      <a:lnTo>
                        <a:pt x="1926757" y="234499"/>
                      </a:lnTo>
                      <a:lnTo>
                        <a:pt x="336034" y="234499"/>
                      </a:lnTo>
                      <a:lnTo>
                        <a:pt x="270761" y="169226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6350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100" name="그룹 180">
                  <a:extLst>
                    <a:ext uri="{FF2B5EF4-FFF2-40B4-BE49-F238E27FC236}">
                      <a16:creationId xmlns:a16="http://schemas.microsoft.com/office/drawing/2014/main" id="{2E5D4B0F-CB28-44E3-98D6-D17E115CF2CF}"/>
                    </a:ext>
                  </a:extLst>
                </xdr:cNvPr>
                <xdr:cNvGrpSpPr/>
              </xdr:nvGrpSpPr>
              <xdr:grpSpPr>
                <a:xfrm>
                  <a:off x="7556448" y="1560615"/>
                  <a:ext cx="1806431" cy="1062772"/>
                  <a:chOff x="4444379" y="313952"/>
                  <a:chExt cx="1570116" cy="1069110"/>
                </a:xfrm>
              </xdr:grpSpPr>
              <xdr:grpSp>
                <xdr:nvGrpSpPr>
                  <xdr:cNvPr id="101" name="그룹 181">
                    <a:extLst>
                      <a:ext uri="{FF2B5EF4-FFF2-40B4-BE49-F238E27FC236}">
                        <a16:creationId xmlns:a16="http://schemas.microsoft.com/office/drawing/2014/main" id="{42082A63-4F3A-4F46-95EA-DDDFA442CA25}"/>
                      </a:ext>
                    </a:extLst>
                  </xdr:cNvPr>
                  <xdr:cNvGrpSpPr/>
                </xdr:nvGrpSpPr>
                <xdr:grpSpPr>
                  <a:xfrm>
                    <a:off x="4444379" y="315446"/>
                    <a:ext cx="1421153" cy="1067616"/>
                    <a:chOff x="2971800" y="381000"/>
                    <a:chExt cx="1422339" cy="1061287"/>
                  </a:xfrm>
                </xdr:grpSpPr>
                <xdr:cxnSp macro="">
                  <xdr:nvCxnSpPr>
                    <xdr:cNvPr id="103" name="직선 연결선 183">
                      <a:extLst>
                        <a:ext uri="{FF2B5EF4-FFF2-40B4-BE49-F238E27FC236}">
                          <a16:creationId xmlns:a16="http://schemas.microsoft.com/office/drawing/2014/main" id="{092654F0-F366-454F-B77D-AA24D71650BD}"/>
                        </a:ext>
                      </a:extLst>
                    </xdr:cNvPr>
                    <xdr:cNvCxnSpPr/>
                  </xdr:nvCxnSpPr>
                  <xdr:spPr>
                    <a:xfrm>
                      <a:off x="3207515" y="1442287"/>
                      <a:ext cx="1111112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4" name="직선 연결선 184">
                      <a:extLst>
                        <a:ext uri="{FF2B5EF4-FFF2-40B4-BE49-F238E27FC236}">
                          <a16:creationId xmlns:a16="http://schemas.microsoft.com/office/drawing/2014/main" id="{C5FB98D1-97F3-42DA-BC63-6E6B973CCA51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3121216" y="388272"/>
                      <a:ext cx="247294" cy="1050604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5" name="직선 연결선 185">
                      <a:extLst>
                        <a:ext uri="{FF2B5EF4-FFF2-40B4-BE49-F238E27FC236}">
                          <a16:creationId xmlns:a16="http://schemas.microsoft.com/office/drawing/2014/main" id="{4E58D55C-F1D0-4D16-A44A-961CFF2B7C6E}"/>
                        </a:ext>
                      </a:extLst>
                    </xdr:cNvPr>
                    <xdr:cNvCxnSpPr/>
                  </xdr:nvCxnSpPr>
                  <xdr:spPr>
                    <a:xfrm flipV="1">
                      <a:off x="4166565" y="399805"/>
                      <a:ext cx="227574" cy="103615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6" name="직선 연결선 186">
                      <a:extLst>
                        <a:ext uri="{FF2B5EF4-FFF2-40B4-BE49-F238E27FC236}">
                          <a16:creationId xmlns:a16="http://schemas.microsoft.com/office/drawing/2014/main" id="{0318F342-70FE-41CF-8541-FD0D6F149A0F}"/>
                        </a:ext>
                      </a:extLst>
                    </xdr:cNvPr>
                    <xdr:cNvCxnSpPr/>
                  </xdr:nvCxnSpPr>
                  <xdr:spPr>
                    <a:xfrm>
                      <a:off x="2971800" y="381000"/>
                      <a:ext cx="363653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102" name="직선 연결선 182">
                    <a:extLst>
                      <a:ext uri="{FF2B5EF4-FFF2-40B4-BE49-F238E27FC236}">
                        <a16:creationId xmlns:a16="http://schemas.microsoft.com/office/drawing/2014/main" id="{EEFB275A-A0CA-4194-9185-1EAED916D9A4}"/>
                      </a:ext>
                    </a:extLst>
                  </xdr:cNvPr>
                  <xdr:cNvCxnSpPr/>
                </xdr:nvCxnSpPr>
                <xdr:spPr>
                  <a:xfrm>
                    <a:off x="5651145" y="313952"/>
                    <a:ext cx="363350" cy="0"/>
                  </a:xfrm>
                  <a:prstGeom prst="line">
                    <a:avLst/>
                  </a:prstGeom>
                  <a:ln w="57150"/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91" name="그룹 122">
                <a:extLst>
                  <a:ext uri="{FF2B5EF4-FFF2-40B4-BE49-F238E27FC236}">
                    <a16:creationId xmlns:a16="http://schemas.microsoft.com/office/drawing/2014/main" id="{DC6092DA-5B18-4B5B-A12F-977F30230FD5}"/>
                  </a:ext>
                </a:extLst>
              </xdr:cNvPr>
              <xdr:cNvGrpSpPr/>
            </xdr:nvGrpSpPr>
            <xdr:grpSpPr>
              <a:xfrm>
                <a:off x="4698953" y="6665478"/>
                <a:ext cx="848704" cy="785766"/>
                <a:chOff x="4698953" y="6665478"/>
                <a:chExt cx="848704" cy="785766"/>
              </a:xfrm>
            </xdr:grpSpPr>
            <xdr:sp macro="" textlink="">
              <xdr:nvSpPr>
                <xdr:cNvPr id="92" name="TextBox 91">
                  <a:extLst>
                    <a:ext uri="{FF2B5EF4-FFF2-40B4-BE49-F238E27FC236}">
                      <a16:creationId xmlns:a16="http://schemas.microsoft.com/office/drawing/2014/main" id="{AA2A5F03-CADC-4419-9F87-7B0DE57207D0}"/>
                    </a:ext>
                  </a:extLst>
                </xdr:cNvPr>
                <xdr:cNvSpPr txBox="1"/>
              </xdr:nvSpPr>
              <xdr:spPr>
                <a:xfrm>
                  <a:off x="4698953" y="6665478"/>
                  <a:ext cx="848704" cy="19911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   V</a:t>
                  </a:r>
                  <a:r>
                    <a:rPr lang="en-US" altLang="ko-KR" sz="600"/>
                    <a:t>u</a:t>
                  </a:r>
                  <a:r>
                    <a:rPr lang="en-US" altLang="ko-KR" sz="900"/>
                    <a:t>   V</a:t>
                  </a:r>
                  <a:r>
                    <a:rPr lang="en-US" altLang="ko-KR" sz="600"/>
                    <a:t>ui</a:t>
                  </a:r>
                  <a:endParaRPr lang="en-US" sz="900"/>
                </a:p>
              </xdr:txBody>
            </xdr:sp>
            <xdr:grpSp>
              <xdr:nvGrpSpPr>
                <xdr:cNvPr id="93" name="그룹 135">
                  <a:extLst>
                    <a:ext uri="{FF2B5EF4-FFF2-40B4-BE49-F238E27FC236}">
                      <a16:creationId xmlns:a16="http://schemas.microsoft.com/office/drawing/2014/main" id="{FEFD6A94-FC23-4261-A627-031C25E99F5F}"/>
                    </a:ext>
                  </a:extLst>
                </xdr:cNvPr>
                <xdr:cNvGrpSpPr/>
              </xdr:nvGrpSpPr>
              <xdr:grpSpPr>
                <a:xfrm>
                  <a:off x="4961553" y="6829685"/>
                  <a:ext cx="362390" cy="621559"/>
                  <a:chOff x="4749622" y="6834448"/>
                  <a:chExt cx="362390" cy="621559"/>
                </a:xfrm>
              </xdr:grpSpPr>
              <xdr:cxnSp macro="">
                <xdr:nvCxnSpPr>
                  <xdr:cNvPr id="94" name="직선 화살표 연결선 153">
                    <a:extLst>
                      <a:ext uri="{FF2B5EF4-FFF2-40B4-BE49-F238E27FC236}">
                        <a16:creationId xmlns:a16="http://schemas.microsoft.com/office/drawing/2014/main" id="{4B334CF7-9154-446E-B873-68665B5AB1CD}"/>
                      </a:ext>
                    </a:extLst>
                  </xdr:cNvPr>
                  <xdr:cNvCxnSpPr/>
                </xdr:nvCxnSpPr>
                <xdr:spPr>
                  <a:xfrm flipH="1">
                    <a:off x="4939515" y="6854644"/>
                    <a:ext cx="166447" cy="601363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5" name="직선 화살표 연결선 154">
                    <a:extLst>
                      <a:ext uri="{FF2B5EF4-FFF2-40B4-BE49-F238E27FC236}">
                        <a16:creationId xmlns:a16="http://schemas.microsoft.com/office/drawing/2014/main" id="{0FB1347C-C824-4F8A-962C-9980EEC771C7}"/>
                      </a:ext>
                    </a:extLst>
                  </xdr:cNvPr>
                  <xdr:cNvCxnSpPr/>
                </xdr:nvCxnSpPr>
                <xdr:spPr>
                  <a:xfrm>
                    <a:off x="4755902" y="7451596"/>
                    <a:ext cx="180646" cy="0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6" name="직선 연결선 155">
                    <a:extLst>
                      <a:ext uri="{FF2B5EF4-FFF2-40B4-BE49-F238E27FC236}">
                        <a16:creationId xmlns:a16="http://schemas.microsoft.com/office/drawing/2014/main" id="{81CD6889-599F-4875-9D36-5BFC00178427}"/>
                      </a:ext>
                    </a:extLst>
                  </xdr:cNvPr>
                  <xdr:cNvCxnSpPr/>
                </xdr:nvCxnSpPr>
                <xdr:spPr>
                  <a:xfrm>
                    <a:off x="4930487" y="6843712"/>
                    <a:ext cx="181525" cy="0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7" name="직선 연결선 157">
                    <a:extLst>
                      <a:ext uri="{FF2B5EF4-FFF2-40B4-BE49-F238E27FC236}">
                        <a16:creationId xmlns:a16="http://schemas.microsoft.com/office/drawing/2014/main" id="{E4E9151B-7258-41B5-BD48-B783B417160D}"/>
                      </a:ext>
                    </a:extLst>
                  </xdr:cNvPr>
                  <xdr:cNvCxnSpPr/>
                </xdr:nvCxnSpPr>
                <xdr:spPr>
                  <a:xfrm>
                    <a:off x="4933969" y="6848927"/>
                    <a:ext cx="0" cy="535637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8" name="직선 연결선 159">
                    <a:extLst>
                      <a:ext uri="{FF2B5EF4-FFF2-40B4-BE49-F238E27FC236}">
                        <a16:creationId xmlns:a16="http://schemas.microsoft.com/office/drawing/2014/main" id="{6FC023EA-FB87-4E10-B11E-EEE395C511D1}"/>
                      </a:ext>
                    </a:extLst>
                  </xdr:cNvPr>
                  <xdr:cNvCxnSpPr/>
                </xdr:nvCxnSpPr>
                <xdr:spPr>
                  <a:xfrm flipV="1">
                    <a:off x="4749622" y="6834448"/>
                    <a:ext cx="186727" cy="621214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</xdr:grpSp>
        <xdr:grpSp>
          <xdr:nvGrpSpPr>
            <xdr:cNvPr id="86" name="그룹 16">
              <a:extLst>
                <a:ext uri="{FF2B5EF4-FFF2-40B4-BE49-F238E27FC236}">
                  <a16:creationId xmlns:a16="http://schemas.microsoft.com/office/drawing/2014/main" id="{7CE7A647-81F5-4A60-B533-81CF2344C2D5}"/>
                </a:ext>
              </a:extLst>
            </xdr:cNvPr>
            <xdr:cNvGrpSpPr/>
          </xdr:nvGrpSpPr>
          <xdr:grpSpPr>
            <a:xfrm>
              <a:off x="8005780" y="21978937"/>
              <a:ext cx="290732" cy="542926"/>
              <a:chOff x="8005780" y="21978937"/>
              <a:chExt cx="290732" cy="542926"/>
            </a:xfrm>
          </xdr:grpSpPr>
          <xdr:cxnSp macro="">
            <xdr:nvCxnSpPr>
              <xdr:cNvPr id="87" name="직선 연결선 8">
                <a:extLst>
                  <a:ext uri="{FF2B5EF4-FFF2-40B4-BE49-F238E27FC236}">
                    <a16:creationId xmlns:a16="http://schemas.microsoft.com/office/drawing/2014/main" id="{CBBAFC85-DE69-4A8F-8CB8-F93CA5130513}"/>
                  </a:ext>
                </a:extLst>
              </xdr:cNvPr>
              <xdr:cNvCxnSpPr/>
            </xdr:nvCxnSpPr>
            <xdr:spPr>
              <a:xfrm flipV="1">
                <a:off x="8215313" y="22052756"/>
                <a:ext cx="0" cy="469107"/>
              </a:xfrm>
              <a:prstGeom prst="line">
                <a:avLst/>
              </a:prstGeom>
              <a:ln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8" name="TextBox 87">
                <a:extLst>
                  <a:ext uri="{FF2B5EF4-FFF2-40B4-BE49-F238E27FC236}">
                    <a16:creationId xmlns:a16="http://schemas.microsoft.com/office/drawing/2014/main" id="{47E17166-DAAE-4620-B62B-5FC7411BA4BF}"/>
                  </a:ext>
                </a:extLst>
              </xdr:cNvPr>
              <xdr:cNvSpPr txBox="1"/>
            </xdr:nvSpPr>
            <xdr:spPr>
              <a:xfrm>
                <a:off x="8005780" y="21978937"/>
                <a:ext cx="214312" cy="19646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ko-KR" sz="900">
                    <a:sym typeface="Symbol"/>
                  </a:rPr>
                  <a:t></a:t>
                </a:r>
                <a:endParaRPr lang="en-US" sz="900"/>
              </a:p>
            </xdr:txBody>
          </xdr:sp>
          <xdr:sp macro="" textlink="">
            <xdr:nvSpPr>
              <xdr:cNvPr id="89" name="원호 13">
                <a:extLst>
                  <a:ext uri="{FF2B5EF4-FFF2-40B4-BE49-F238E27FC236}">
                    <a16:creationId xmlns:a16="http://schemas.microsoft.com/office/drawing/2014/main" id="{DC69B741-96FF-4ED4-B240-3E1420520F6C}"/>
                  </a:ext>
                </a:extLst>
              </xdr:cNvPr>
              <xdr:cNvSpPr/>
            </xdr:nvSpPr>
            <xdr:spPr>
              <a:xfrm rot="18062625">
                <a:off x="8115300" y="22140387"/>
                <a:ext cx="164306" cy="198119"/>
              </a:xfrm>
              <a:prstGeom prst="arc">
                <a:avLst>
                  <a:gd name="adj1" fmla="val 16200000"/>
                  <a:gd name="adj2" fmla="val 20386157"/>
                </a:avLst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cxnSp macro="">
        <xdr:nvCxnSpPr>
          <xdr:cNvPr id="84" name="직선 화살표 연결선 56">
            <a:extLst>
              <a:ext uri="{FF2B5EF4-FFF2-40B4-BE49-F238E27FC236}">
                <a16:creationId xmlns:a16="http://schemas.microsoft.com/office/drawing/2014/main" id="{71679E80-6FE6-4ED1-9C50-703445F6A819}"/>
              </a:ext>
            </a:extLst>
          </xdr:cNvPr>
          <xdr:cNvCxnSpPr/>
        </xdr:nvCxnSpPr>
        <xdr:spPr>
          <a:xfrm>
            <a:off x="2165684" y="22112360"/>
            <a:ext cx="0" cy="527736"/>
          </a:xfrm>
          <a:prstGeom prst="straightConnector1">
            <a:avLst/>
          </a:prstGeom>
          <a:ln w="19050">
            <a:solidFill>
              <a:srgbClr val="FF0000"/>
            </a:solidFill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7985-B586-4169-A752-BBBAAA94F0CF}">
  <dimension ref="A1:CW78"/>
  <sheetViews>
    <sheetView workbookViewId="0">
      <selection activeCell="D16" sqref="D16"/>
    </sheetView>
  </sheetViews>
  <sheetFormatPr defaultRowHeight="15"/>
  <cols>
    <col min="1" max="1" width="9" customWidth="1" style="173"/>
    <col min="2" max="2" width="9" customWidth="1" style="279"/>
    <col min="39" max="59" width="9" customWidth="1" style="305"/>
    <col min="60" max="60" width="9" customWidth="1" style="67"/>
    <col min="86" max="87" width="10.85546875" customWidth="1"/>
    <col min="92" max="94" width="9" customWidth="1" style="305"/>
  </cols>
  <sheetData>
    <row r="1">
      <c r="H1" s="0" t="s">
        <v>0</v>
      </c>
      <c r="K1" s="0" t="s">
        <v>1</v>
      </c>
      <c r="O1" s="0" t="s">
        <v>2</v>
      </c>
      <c r="Q1" s="0" t="s">
        <v>3</v>
      </c>
      <c r="R1" s="0" t="s">
        <v>4</v>
      </c>
      <c r="AC1" s="0" t="s">
        <v>5</v>
      </c>
      <c r="AD1" s="0" t="s">
        <v>6</v>
      </c>
      <c r="AO1" s="305" t="s">
        <v>7</v>
      </c>
      <c r="AT1" s="305" t="s">
        <v>8</v>
      </c>
      <c r="BE1" s="305" t="s">
        <v>9</v>
      </c>
      <c r="BQ1" s="0" t="s">
        <v>10</v>
      </c>
      <c r="CF1" s="0" t="s">
        <v>11</v>
      </c>
      <c r="CQ1" s="0" t="s">
        <v>12</v>
      </c>
    </row>
    <row r="2" s="173" customFormat="1">
      <c r="A2" s="173" t="s">
        <v>13</v>
      </c>
      <c r="B2" s="279" t="s">
        <v>14</v>
      </c>
      <c r="D2" s="173" t="s">
        <v>15</v>
      </c>
      <c r="E2" s="173" t="s">
        <v>16</v>
      </c>
      <c r="F2" s="173" t="s">
        <v>17</v>
      </c>
      <c r="G2" s="173" t="s">
        <v>18</v>
      </c>
      <c r="H2" s="173" t="s">
        <v>19</v>
      </c>
      <c r="I2" s="173" t="s">
        <v>20</v>
      </c>
      <c r="J2" s="173" t="s">
        <v>21</v>
      </c>
      <c r="K2" s="173" t="s">
        <v>22</v>
      </c>
      <c r="L2" s="173" t="s">
        <v>23</v>
      </c>
      <c r="M2" s="173" t="s">
        <v>24</v>
      </c>
      <c r="N2" s="173" t="s">
        <v>25</v>
      </c>
      <c r="O2" s="173" t="s">
        <v>26</v>
      </c>
      <c r="P2" s="173" t="s">
        <v>27</v>
      </c>
      <c r="Q2" s="173" t="s">
        <v>28</v>
      </c>
      <c r="R2" s="173" t="s">
        <v>29</v>
      </c>
      <c r="S2" s="173" t="s">
        <v>30</v>
      </c>
      <c r="T2" s="173" t="s">
        <v>31</v>
      </c>
      <c r="U2" s="173" t="s">
        <v>32</v>
      </c>
      <c r="V2" s="173" t="s">
        <v>33</v>
      </c>
      <c r="W2" s="173" t="s">
        <v>34</v>
      </c>
      <c r="X2" s="173" t="s">
        <v>35</v>
      </c>
      <c r="Y2" s="173" t="s">
        <v>36</v>
      </c>
      <c r="Z2" s="173" t="s">
        <v>37</v>
      </c>
      <c r="AA2" s="173" t="s">
        <v>38</v>
      </c>
      <c r="AB2" s="173" t="s">
        <v>39</v>
      </c>
      <c r="AC2" s="173" t="s">
        <v>40</v>
      </c>
      <c r="AD2" s="173" t="s">
        <v>41</v>
      </c>
      <c r="AE2" s="173" t="s">
        <v>42</v>
      </c>
      <c r="AF2" s="173" t="s">
        <v>43</v>
      </c>
      <c r="AG2" s="173" t="s">
        <v>44</v>
      </c>
      <c r="AH2" s="173" t="s">
        <v>45</v>
      </c>
      <c r="AI2" s="173" t="s">
        <v>46</v>
      </c>
      <c r="AJ2" s="173" t="s">
        <v>47</v>
      </c>
      <c r="AK2" s="173" t="s">
        <v>48</v>
      </c>
      <c r="AL2" s="173" t="s">
        <v>49</v>
      </c>
      <c r="AM2" s="468" t="s">
        <v>50</v>
      </c>
      <c r="AN2" s="468" t="s">
        <v>51</v>
      </c>
      <c r="AO2" s="468" t="s">
        <v>52</v>
      </c>
      <c r="AP2" s="468" t="s">
        <v>53</v>
      </c>
      <c r="AQ2" s="468" t="s">
        <v>54</v>
      </c>
      <c r="AR2" s="468" t="s">
        <v>55</v>
      </c>
      <c r="AS2" s="468" t="s">
        <v>56</v>
      </c>
      <c r="AT2" s="468" t="s">
        <v>57</v>
      </c>
      <c r="AU2" s="468" t="s">
        <v>58</v>
      </c>
      <c r="AV2" s="468" t="s">
        <v>59</v>
      </c>
      <c r="AW2" s="468" t="s">
        <v>60</v>
      </c>
      <c r="AX2" s="468" t="s">
        <v>61</v>
      </c>
      <c r="AY2" s="468" t="s">
        <v>62</v>
      </c>
      <c r="AZ2" s="468" t="s">
        <v>63</v>
      </c>
      <c r="BA2" s="468" t="s">
        <v>64</v>
      </c>
      <c r="BB2" s="468" t="s">
        <v>65</v>
      </c>
      <c r="BC2" s="468" t="s">
        <v>66</v>
      </c>
      <c r="BD2" s="468" t="s">
        <v>67</v>
      </c>
      <c r="BE2" s="468" t="s">
        <v>68</v>
      </c>
      <c r="BF2" s="468" t="s">
        <v>69</v>
      </c>
      <c r="BG2" s="468" t="s">
        <v>70</v>
      </c>
      <c r="BH2" s="469" t="s">
        <v>71</v>
      </c>
      <c r="BI2" s="173" t="s">
        <v>72</v>
      </c>
      <c r="BJ2" s="173" t="s">
        <v>73</v>
      </c>
      <c r="BK2" s="173" t="s">
        <v>74</v>
      </c>
      <c r="BL2" s="173" t="s">
        <v>75</v>
      </c>
      <c r="BM2" s="173" t="s">
        <v>76</v>
      </c>
      <c r="BN2" s="173" t="s">
        <v>77</v>
      </c>
      <c r="BO2" s="173" t="s">
        <v>78</v>
      </c>
      <c r="BP2" s="173" t="s">
        <v>79</v>
      </c>
      <c r="BQ2" s="173" t="s">
        <v>80</v>
      </c>
      <c r="BR2" s="173" t="s">
        <v>81</v>
      </c>
      <c r="BS2" s="173" t="s">
        <v>82</v>
      </c>
      <c r="BT2" s="173" t="s">
        <v>83</v>
      </c>
      <c r="BU2" s="173" t="s">
        <v>84</v>
      </c>
      <c r="BV2" s="173" t="s">
        <v>85</v>
      </c>
      <c r="BW2" s="173" t="s">
        <v>86</v>
      </c>
      <c r="BX2" s="173" t="s">
        <v>87</v>
      </c>
      <c r="BY2" s="173" t="s">
        <v>88</v>
      </c>
      <c r="BZ2" s="173" t="s">
        <v>89</v>
      </c>
      <c r="CA2" s="173" t="s">
        <v>90</v>
      </c>
      <c r="CB2" s="173" t="s">
        <v>91</v>
      </c>
      <c r="CC2" s="173" t="s">
        <v>92</v>
      </c>
      <c r="CD2" s="173" t="s">
        <v>93</v>
      </c>
      <c r="CE2" s="173" t="s">
        <v>94</v>
      </c>
      <c r="CF2" s="173" t="s">
        <v>57</v>
      </c>
      <c r="CG2" s="173" t="s">
        <v>58</v>
      </c>
      <c r="CH2" s="173" t="s">
        <v>95</v>
      </c>
      <c r="CI2" s="173" t="s">
        <v>96</v>
      </c>
      <c r="CJ2" s="173" t="s">
        <v>97</v>
      </c>
      <c r="CK2" s="173" t="s">
        <v>98</v>
      </c>
      <c r="CL2" s="173" t="s">
        <v>99</v>
      </c>
      <c r="CM2" s="173" t="s">
        <v>100</v>
      </c>
      <c r="CN2" s="468" t="s">
        <v>101</v>
      </c>
      <c r="CO2" s="468" t="s">
        <v>102</v>
      </c>
      <c r="CP2" s="468" t="s">
        <v>103</v>
      </c>
      <c r="CQ2" s="173" t="s">
        <v>104</v>
      </c>
      <c r="CR2" s="173" t="s">
        <v>105</v>
      </c>
      <c r="CS2" s="173" t="s">
        <v>106</v>
      </c>
      <c r="CT2" s="173" t="s">
        <v>107</v>
      </c>
      <c r="CU2" s="173" t="s">
        <v>108</v>
      </c>
      <c r="CV2" s="173" t="s">
        <v>109</v>
      </c>
      <c r="CW2" s="173" t="s">
        <v>110</v>
      </c>
    </row>
    <row r="3">
      <c r="A3" s="173" t="s">
        <v>111</v>
      </c>
      <c r="B3" s="279" t="s">
        <v>112</v>
      </c>
      <c r="D3" s="0">
        <v>101</v>
      </c>
      <c r="E3" s="0" t="s">
        <v>113</v>
      </c>
      <c r="F3" s="0">
        <v>0</v>
      </c>
      <c r="G3" s="0">
        <v>0</v>
      </c>
      <c r="H3" s="0">
        <v>2</v>
      </c>
      <c r="I3" s="0">
        <v>500</v>
      </c>
      <c r="J3" s="0">
        <v>22</v>
      </c>
      <c r="K3" s="0">
        <v>1936.3312351792665</v>
      </c>
      <c r="L3" s="0">
        <v>12</v>
      </c>
      <c r="M3" s="0">
        <v>120</v>
      </c>
      <c r="N3" s="0">
        <v>2800</v>
      </c>
      <c r="O3" s="0">
        <v>12</v>
      </c>
      <c r="P3" s="0">
        <v>0.125</v>
      </c>
      <c r="Q3" s="0">
        <v>0</v>
      </c>
      <c r="R3" s="0">
        <v>290</v>
      </c>
      <c r="S3" s="0">
        <v>0</v>
      </c>
      <c r="T3" s="0">
        <v>0</v>
      </c>
      <c r="U3" s="0">
        <v>2400</v>
      </c>
      <c r="V3" s="0">
        <v>2400</v>
      </c>
      <c r="W3" s="0">
        <v>0</v>
      </c>
      <c r="X3" s="0">
        <v>0</v>
      </c>
      <c r="Y3" s="0">
        <v>6100</v>
      </c>
      <c r="Z3" s="0">
        <v>65080</v>
      </c>
      <c r="AA3" s="0">
        <v>5450</v>
      </c>
      <c r="AB3" s="0">
        <v>2</v>
      </c>
      <c r="AC3" s="0">
        <v>1587.5</v>
      </c>
      <c r="AD3" s="0">
        <v>2</v>
      </c>
      <c r="AE3" s="0">
        <v>10</v>
      </c>
      <c r="AF3" s="0">
        <v>160</v>
      </c>
      <c r="AG3" s="0">
        <v>0</v>
      </c>
      <c r="AH3" s="0">
        <v>0</v>
      </c>
      <c r="AI3" s="0">
        <v>0</v>
      </c>
      <c r="AJ3" s="0">
        <v>5428.6721054031623</v>
      </c>
      <c r="AK3" s="0">
        <v>5428.6721054031623</v>
      </c>
      <c r="AL3" s="0">
        <v>0</v>
      </c>
      <c r="AM3" s="305">
        <v>3175</v>
      </c>
      <c r="AN3" s="305">
        <v>700</v>
      </c>
      <c r="AO3" s="305">
        <v>380</v>
      </c>
      <c r="AP3" s="305">
        <v>380</v>
      </c>
      <c r="AQ3" s="305">
        <v>355</v>
      </c>
      <c r="AR3" s="305">
        <v>2.8971678425957479E-06</v>
      </c>
      <c r="AS3" s="305">
        <v>-2.6792469646002573E-06</v>
      </c>
      <c r="AT3" s="305">
        <v>1472.3749846085932</v>
      </c>
      <c r="AU3" s="305">
        <v>1361.6250153914068</v>
      </c>
      <c r="AV3" s="305">
        <v>1360.1280922046149</v>
      </c>
      <c r="AW3" s="305">
        <v>-38.849818</v>
      </c>
      <c r="AX3" s="305">
        <v>0.010277</v>
      </c>
      <c r="AY3" s="305">
        <v>-166.588556</v>
      </c>
      <c r="AZ3" s="305" t="s">
        <v>27</v>
      </c>
      <c r="BA3" s="305">
        <v>1349.6250153914068</v>
      </c>
      <c r="BB3" s="305">
        <v>-647.370981</v>
      </c>
      <c r="BC3" s="305">
        <v>-0.853158</v>
      </c>
      <c r="BD3" s="305">
        <v>-1246.385</v>
      </c>
      <c r="BE3" s="305">
        <v>0.000339</v>
      </c>
      <c r="BF3" s="305">
        <v>-2.46E-07</v>
      </c>
      <c r="BG3" s="305">
        <v>-0.000558</v>
      </c>
      <c r="BH3" s="67">
        <v>380</v>
      </c>
      <c r="BI3" s="0">
        <v>380</v>
      </c>
      <c r="BJ3" s="0" t="s">
        <v>114</v>
      </c>
      <c r="BK3" s="0">
        <v>1245.273804662846</v>
      </c>
      <c r="BL3" s="0">
        <v>49150.378220967606</v>
      </c>
      <c r="BM3" s="0">
        <v>-0.003524</v>
      </c>
      <c r="BN3" s="0">
        <v>-0.00017</v>
      </c>
      <c r="BO3" s="0">
        <v>0.0021941875</v>
      </c>
      <c r="BP3" s="0">
        <v>-0.01263225</v>
      </c>
      <c r="BQ3" s="0">
        <v>94594968.220569268</v>
      </c>
      <c r="BR3" s="0">
        <v>94594968.220569268</v>
      </c>
      <c r="BS3" s="0">
        <v>104092098.67581166</v>
      </c>
      <c r="BT3" s="0">
        <v>123240019.78823511</v>
      </c>
      <c r="BU3" s="0">
        <v>102289002.70150694</v>
      </c>
      <c r="BV3" s="0">
        <v>102289002.70150694</v>
      </c>
      <c r="BW3" s="0">
        <v>105151259.22625338</v>
      </c>
      <c r="BX3" s="0">
        <v>109913620.18406133</v>
      </c>
      <c r="BY3" s="0">
        <v>103198490.90631922</v>
      </c>
      <c r="BZ3" s="0">
        <v>110801218.3096953</v>
      </c>
      <c r="CA3" s="0">
        <v>546882264.39991891</v>
      </c>
      <c r="CB3" s="0">
        <v>-866.26406</v>
      </c>
      <c r="CC3" s="0">
        <v>-82.731532</v>
      </c>
      <c r="CD3" s="0">
        <v>646.407004375</v>
      </c>
      <c r="CE3" s="0">
        <v>-4348.4853895</v>
      </c>
      <c r="CF3" s="0">
        <v>1336.0083061051159</v>
      </c>
      <c r="CG3" s="0">
        <v>1497.9916938948841</v>
      </c>
      <c r="CH3" s="0">
        <v>1.2433957071106524E-05</v>
      </c>
      <c r="CI3" s="0">
        <v>-1.025170972651487E-05</v>
      </c>
      <c r="CJ3" s="0">
        <v>-387.212512</v>
      </c>
      <c r="CK3" s="0">
        <v>-327.71994</v>
      </c>
      <c r="CL3" s="0">
        <v>56.7778349375</v>
      </c>
      <c r="CM3" s="0">
        <v>-1350.9497273749998</v>
      </c>
      <c r="CN3" s="305">
        <v>1.0171171224099623E-05</v>
      </c>
      <c r="CO3" s="305">
        <v>-1.01305714472412E-05</v>
      </c>
      <c r="CP3" s="305">
        <v>105951615.21003078</v>
      </c>
      <c r="CQ3" s="0">
        <v>1.2679680227615983E-05</v>
      </c>
      <c r="CR3" s="0">
        <v>-2.9161792230975348E-05</v>
      </c>
      <c r="CS3" s="0">
        <v>3.2256964142980135E-06</v>
      </c>
      <c r="CT3" s="0">
        <v>2.1803546646384084E-05</v>
      </c>
      <c r="CU3" s="0">
        <v>2406.7982716579568</v>
      </c>
      <c r="CV3" s="0">
        <v>12.752897</v>
      </c>
      <c r="CW3" s="0">
        <v>-331.2594</v>
      </c>
    </row>
    <row r="4">
      <c r="A4" s="173" t="s">
        <v>115</v>
      </c>
      <c r="B4" s="279" t="s">
        <v>116</v>
      </c>
      <c r="D4" s="0">
        <v>101</v>
      </c>
      <c r="E4" s="0" t="s">
        <v>113</v>
      </c>
      <c r="F4" s="0">
        <v>0</v>
      </c>
      <c r="G4" s="0">
        <v>0</v>
      </c>
      <c r="H4" s="0">
        <v>2</v>
      </c>
      <c r="I4" s="0">
        <v>500</v>
      </c>
      <c r="J4" s="0">
        <v>22</v>
      </c>
      <c r="K4" s="0">
        <v>1936.3312351792665</v>
      </c>
      <c r="L4" s="0">
        <v>12</v>
      </c>
      <c r="M4" s="0">
        <v>120</v>
      </c>
      <c r="N4" s="0">
        <v>2800</v>
      </c>
      <c r="O4" s="0">
        <v>12</v>
      </c>
      <c r="P4" s="0">
        <v>0.125</v>
      </c>
      <c r="Q4" s="0">
        <v>0</v>
      </c>
      <c r="R4" s="0">
        <v>290</v>
      </c>
      <c r="S4" s="0">
        <v>0</v>
      </c>
      <c r="T4" s="0">
        <v>0</v>
      </c>
      <c r="U4" s="0">
        <v>2400</v>
      </c>
      <c r="V4" s="0">
        <v>2400</v>
      </c>
      <c r="W4" s="0">
        <v>0</v>
      </c>
      <c r="X4" s="0">
        <v>0</v>
      </c>
      <c r="Y4" s="0">
        <v>6100</v>
      </c>
      <c r="Z4" s="0">
        <v>65080</v>
      </c>
      <c r="AA4" s="0">
        <v>5450</v>
      </c>
      <c r="AB4" s="0">
        <v>2</v>
      </c>
      <c r="AC4" s="0">
        <v>1587.5</v>
      </c>
      <c r="AD4" s="0">
        <v>2</v>
      </c>
      <c r="AE4" s="0">
        <v>10</v>
      </c>
      <c r="AF4" s="0">
        <v>160</v>
      </c>
      <c r="AG4" s="0">
        <v>0</v>
      </c>
      <c r="AH4" s="0">
        <v>0</v>
      </c>
      <c r="AI4" s="0">
        <v>0</v>
      </c>
      <c r="AJ4" s="0">
        <v>5428.6721054031623</v>
      </c>
      <c r="AK4" s="0">
        <v>5428.6721054031623</v>
      </c>
      <c r="AL4" s="0">
        <v>0</v>
      </c>
      <c r="AM4" s="305">
        <v>3175</v>
      </c>
      <c r="AN4" s="305">
        <v>700</v>
      </c>
      <c r="AO4" s="305">
        <v>380</v>
      </c>
      <c r="AP4" s="305">
        <v>380</v>
      </c>
      <c r="AQ4" s="305">
        <v>355</v>
      </c>
      <c r="AR4" s="305">
        <v>-63.919214745137239</v>
      </c>
      <c r="AS4" s="305">
        <v>59.11130158482738</v>
      </c>
      <c r="AT4" s="305">
        <v>1472.3749846085932</v>
      </c>
      <c r="AU4" s="305">
        <v>1361.6250153914068</v>
      </c>
      <c r="AV4" s="305">
        <v>1461.6621196998776</v>
      </c>
      <c r="AW4" s="305">
        <v>-38.849818</v>
      </c>
      <c r="AX4" s="305">
        <v>0.010277</v>
      </c>
      <c r="AY4" s="305">
        <v>-132.558416</v>
      </c>
      <c r="AZ4" s="305" t="s">
        <v>27</v>
      </c>
      <c r="BA4" s="305">
        <v>1450.3749846085932</v>
      </c>
      <c r="BB4" s="305">
        <v>-613.539837</v>
      </c>
      <c r="BC4" s="305">
        <v>-0.853158</v>
      </c>
      <c r="BD4" s="305">
        <v>-1141.677</v>
      </c>
      <c r="BE4" s="305">
        <v>1670.707</v>
      </c>
      <c r="BF4" s="305">
        <v>2.26087</v>
      </c>
      <c r="BG4" s="305">
        <v>3164.181</v>
      </c>
      <c r="BH4" s="67">
        <v>380</v>
      </c>
      <c r="BI4" s="0">
        <v>380</v>
      </c>
      <c r="BJ4" s="0" t="s">
        <v>117</v>
      </c>
      <c r="BK4" s="0">
        <v>240</v>
      </c>
      <c r="BL4" s="0">
        <v>68857.252235200533</v>
      </c>
      <c r="BM4" s="0">
        <v>960.730158</v>
      </c>
      <c r="BN4" s="0">
        <v>832.481405</v>
      </c>
      <c r="BO4" s="0">
        <v>3281.6160359999994</v>
      </c>
      <c r="BP4" s="0">
        <v>-150.46375506249999</v>
      </c>
      <c r="BQ4" s="0">
        <v>102289002.70150694</v>
      </c>
      <c r="BR4" s="0">
        <v>102289002.70150694</v>
      </c>
      <c r="BS4" s="0">
        <v>130429658.9208211</v>
      </c>
      <c r="BT4" s="0">
        <v>140275343.71373585</v>
      </c>
      <c r="BU4" s="0">
        <v>94594968.220569268</v>
      </c>
      <c r="BV4" s="0">
        <v>94594968.220569268</v>
      </c>
      <c r="BW4" s="0">
        <v>340090559.80419284</v>
      </c>
      <c r="BX4" s="0">
        <v>948167343.47444808</v>
      </c>
      <c r="BY4" s="0">
        <v>103198490.90631922</v>
      </c>
      <c r="BZ4" s="0">
        <v>110801218.3096953</v>
      </c>
      <c r="CA4" s="0">
        <v>546882264.39991891</v>
      </c>
      <c r="CB4" s="0">
        <v>-726.870085</v>
      </c>
      <c r="CC4" s="0">
        <v>-73.907164</v>
      </c>
      <c r="CD4" s="0">
        <v>735.368810875</v>
      </c>
      <c r="CE4" s="0">
        <v>-3803.2646114999993</v>
      </c>
      <c r="CF4" s="0">
        <v>365.237718773883</v>
      </c>
      <c r="CG4" s="0">
        <v>2468.762281226117</v>
      </c>
      <c r="CH4" s="0">
        <v>-77.351921308679053</v>
      </c>
      <c r="CI4" s="0">
        <v>120.00196077366979</v>
      </c>
      <c r="CJ4" s="0">
        <v>-337.869512</v>
      </c>
      <c r="CK4" s="0">
        <v>-300.56804</v>
      </c>
      <c r="CL4" s="0">
        <v>78.136990000000011</v>
      </c>
      <c r="CM4" s="0">
        <v>-1197.2647574999999</v>
      </c>
      <c r="CN4" s="305">
        <v>-60.907431191258183</v>
      </c>
      <c r="CO4" s="305">
        <v>91.4498723710339</v>
      </c>
      <c r="CP4" s="305">
        <v>593765571.73724329</v>
      </c>
      <c r="CQ4" s="0">
        <v>-53.960296306078966</v>
      </c>
      <c r="CR4" s="0">
        <v>54.654928489749238</v>
      </c>
      <c r="CS4" s="0">
        <v>0.650186120617656</v>
      </c>
      <c r="CT4" s="0">
        <v>4.3948225713000575</v>
      </c>
      <c r="CU4" s="0">
        <v>2406.7982716579568</v>
      </c>
      <c r="CV4" s="0">
        <v>23.727917</v>
      </c>
      <c r="CW4" s="0">
        <v>-297.429496</v>
      </c>
    </row>
    <row r="5">
      <c r="A5" s="173" t="s">
        <v>118</v>
      </c>
      <c r="B5" s="279" t="s">
        <v>119</v>
      </c>
      <c r="D5" s="0">
        <v>102</v>
      </c>
      <c r="E5" s="0" t="s">
        <v>120</v>
      </c>
      <c r="F5" s="0">
        <v>2650</v>
      </c>
      <c r="G5" s="0">
        <v>0</v>
      </c>
      <c r="H5" s="0">
        <v>2</v>
      </c>
      <c r="I5" s="0">
        <v>500</v>
      </c>
      <c r="J5" s="0">
        <v>30</v>
      </c>
      <c r="K5" s="0">
        <v>1936.3312351792665</v>
      </c>
      <c r="L5" s="0">
        <v>18</v>
      </c>
      <c r="M5" s="0">
        <v>120</v>
      </c>
      <c r="N5" s="0">
        <v>2800</v>
      </c>
      <c r="O5" s="0">
        <v>12</v>
      </c>
      <c r="P5" s="0">
        <v>0.125</v>
      </c>
      <c r="Q5" s="0">
        <v>0</v>
      </c>
      <c r="R5" s="0">
        <v>290</v>
      </c>
      <c r="S5" s="0">
        <v>0</v>
      </c>
      <c r="T5" s="0">
        <v>0</v>
      </c>
      <c r="U5" s="0">
        <v>2400</v>
      </c>
      <c r="V5" s="0">
        <v>2400</v>
      </c>
      <c r="W5" s="0">
        <v>0</v>
      </c>
      <c r="X5" s="0">
        <v>0</v>
      </c>
      <c r="Y5" s="0">
        <v>6100</v>
      </c>
      <c r="Z5" s="0">
        <v>65080</v>
      </c>
      <c r="AA5" s="0">
        <v>5450</v>
      </c>
      <c r="AB5" s="0">
        <v>2</v>
      </c>
      <c r="AC5" s="0">
        <v>1587.5</v>
      </c>
      <c r="AD5" s="0">
        <v>2</v>
      </c>
      <c r="AE5" s="0">
        <v>10</v>
      </c>
      <c r="AF5" s="0">
        <v>160</v>
      </c>
      <c r="AG5" s="0">
        <v>0</v>
      </c>
      <c r="AH5" s="0">
        <v>0</v>
      </c>
      <c r="AI5" s="0">
        <v>0</v>
      </c>
      <c r="AJ5" s="0">
        <v>5428.6721054031623</v>
      </c>
      <c r="AK5" s="0">
        <v>5428.6721054031623</v>
      </c>
      <c r="AL5" s="0">
        <v>0</v>
      </c>
      <c r="AM5" s="305">
        <v>3175</v>
      </c>
      <c r="AN5" s="305">
        <v>700</v>
      </c>
      <c r="AO5" s="305">
        <v>380</v>
      </c>
      <c r="AP5" s="305">
        <v>380</v>
      </c>
      <c r="AQ5" s="305">
        <v>355</v>
      </c>
      <c r="AR5" s="305">
        <v>-51.231350313896449</v>
      </c>
      <c r="AS5" s="305">
        <v>45.385999785034755</v>
      </c>
      <c r="AT5" s="305">
        <v>1510.1520124964713</v>
      </c>
      <c r="AU5" s="305">
        <v>1337.8479875035287</v>
      </c>
      <c r="AV5" s="305">
        <v>1491.6708789261711</v>
      </c>
      <c r="AW5" s="305">
        <v>-38.849818</v>
      </c>
      <c r="AX5" s="305">
        <v>0.010277</v>
      </c>
      <c r="AY5" s="305">
        <v>-132.558416</v>
      </c>
      <c r="AZ5" s="305" t="s">
        <v>27</v>
      </c>
      <c r="BA5" s="305">
        <v>1480.1520124964713</v>
      </c>
      <c r="BB5" s="305">
        <v>-613.539837</v>
      </c>
      <c r="BC5" s="305">
        <v>-0.853158</v>
      </c>
      <c r="BD5" s="305">
        <v>-1141.677</v>
      </c>
      <c r="BE5" s="305">
        <v>1670.707</v>
      </c>
      <c r="BF5" s="305">
        <v>2.26087</v>
      </c>
      <c r="BG5" s="305">
        <v>3164.181</v>
      </c>
      <c r="BH5" s="67">
        <v>380</v>
      </c>
      <c r="BI5" s="0">
        <v>380</v>
      </c>
      <c r="BJ5" s="0" t="s">
        <v>121</v>
      </c>
      <c r="BK5" s="0">
        <v>281.00324787526949</v>
      </c>
      <c r="BL5" s="0">
        <v>81442.416969335929</v>
      </c>
      <c r="BM5" s="0">
        <v>960.730158</v>
      </c>
      <c r="BN5" s="0">
        <v>832.481405</v>
      </c>
      <c r="BO5" s="0">
        <v>3281.6160359999994</v>
      </c>
      <c r="BP5" s="0">
        <v>-150.46375506249999</v>
      </c>
      <c r="BQ5" s="0">
        <v>133222494.07610732</v>
      </c>
      <c r="BR5" s="0">
        <v>133222494.07610732</v>
      </c>
      <c r="BS5" s="0">
        <v>161776160.43620879</v>
      </c>
      <c r="BT5" s="0">
        <v>172894999.11348805</v>
      </c>
      <c r="BU5" s="0">
        <v>118022188.571124</v>
      </c>
      <c r="BV5" s="0">
        <v>118022188.571124</v>
      </c>
      <c r="BW5" s="0">
        <v>366632360.06714731</v>
      </c>
      <c r="BX5" s="0">
        <v>951896459.6634047</v>
      </c>
      <c r="BY5" s="0">
        <v>135039373.68351251</v>
      </c>
      <c r="BZ5" s="0">
        <v>142261789.70873714</v>
      </c>
      <c r="CA5" s="0">
        <v>597207231.6297816</v>
      </c>
      <c r="CB5" s="0">
        <v>-726.870085</v>
      </c>
      <c r="CC5" s="0">
        <v>-73.907164</v>
      </c>
      <c r="CD5" s="0">
        <v>735.368810875</v>
      </c>
      <c r="CE5" s="0">
        <v>-3803.2646114999993</v>
      </c>
      <c r="CF5" s="0">
        <v>437.77444577207143</v>
      </c>
      <c r="CG5" s="0">
        <v>2410.2255542279286</v>
      </c>
      <c r="CH5" s="0">
        <v>-64.1182087569922</v>
      </c>
      <c r="CI5" s="0">
        <v>94.692842411957741</v>
      </c>
      <c r="CJ5" s="0">
        <v>-337.869512</v>
      </c>
      <c r="CK5" s="0">
        <v>-300.56804</v>
      </c>
      <c r="CL5" s="0">
        <v>78.136990000000011</v>
      </c>
      <c r="CM5" s="0">
        <v>-1197.2647574999999</v>
      </c>
      <c r="CN5" s="305">
        <v>-50.357800663684657</v>
      </c>
      <c r="CO5" s="305">
        <v>72.067841234594525</v>
      </c>
      <c r="CP5" s="305">
        <v>643304081.81642187</v>
      </c>
      <c r="CQ5" s="0">
        <v>-43.60549858468719</v>
      </c>
      <c r="CR5" s="0">
        <v>42.247438471753263</v>
      </c>
      <c r="CS5" s="0">
        <v>0.64763897427246686</v>
      </c>
      <c r="CT5" s="0">
        <v>3.5656626849301749</v>
      </c>
      <c r="CU5" s="0">
        <v>2406.7982716579568</v>
      </c>
      <c r="CV5" s="0">
        <v>23.727917</v>
      </c>
      <c r="CW5" s="0">
        <v>-297.429496</v>
      </c>
    </row>
    <row r="6">
      <c r="A6" s="173" t="s">
        <v>122</v>
      </c>
      <c r="B6" s="279" t="s">
        <v>123</v>
      </c>
      <c r="D6" s="0">
        <v>102</v>
      </c>
      <c r="E6" s="0" t="s">
        <v>120</v>
      </c>
      <c r="F6" s="0">
        <v>2650</v>
      </c>
      <c r="G6" s="0">
        <v>0</v>
      </c>
      <c r="H6" s="0">
        <v>2</v>
      </c>
      <c r="I6" s="0">
        <v>500</v>
      </c>
      <c r="J6" s="0">
        <v>30</v>
      </c>
      <c r="K6" s="0">
        <v>1936.3312351792665</v>
      </c>
      <c r="L6" s="0">
        <v>18</v>
      </c>
      <c r="M6" s="0">
        <v>120</v>
      </c>
      <c r="N6" s="0">
        <v>2800</v>
      </c>
      <c r="O6" s="0">
        <v>12</v>
      </c>
      <c r="P6" s="0">
        <v>0.125</v>
      </c>
      <c r="Q6" s="0">
        <v>0</v>
      </c>
      <c r="R6" s="0">
        <v>290</v>
      </c>
      <c r="S6" s="0">
        <v>0</v>
      </c>
      <c r="T6" s="0">
        <v>0</v>
      </c>
      <c r="U6" s="0">
        <v>2400</v>
      </c>
      <c r="V6" s="0">
        <v>2400</v>
      </c>
      <c r="W6" s="0">
        <v>0</v>
      </c>
      <c r="X6" s="0">
        <v>0</v>
      </c>
      <c r="Y6" s="0">
        <v>6100</v>
      </c>
      <c r="Z6" s="0">
        <v>65080</v>
      </c>
      <c r="AA6" s="0">
        <v>5450</v>
      </c>
      <c r="AB6" s="0">
        <v>2</v>
      </c>
      <c r="AC6" s="0">
        <v>1587.5</v>
      </c>
      <c r="AD6" s="0">
        <v>2</v>
      </c>
      <c r="AE6" s="0">
        <v>10</v>
      </c>
      <c r="AF6" s="0">
        <v>160</v>
      </c>
      <c r="AG6" s="0">
        <v>0</v>
      </c>
      <c r="AH6" s="0">
        <v>0</v>
      </c>
      <c r="AI6" s="0">
        <v>0</v>
      </c>
      <c r="AJ6" s="0">
        <v>5428.6721054031623</v>
      </c>
      <c r="AK6" s="0">
        <v>5428.6721054031623</v>
      </c>
      <c r="AL6" s="0">
        <v>0</v>
      </c>
      <c r="AM6" s="305">
        <v>3175</v>
      </c>
      <c r="AN6" s="305">
        <v>700</v>
      </c>
      <c r="AO6" s="305">
        <v>380</v>
      </c>
      <c r="AP6" s="305">
        <v>380</v>
      </c>
      <c r="AQ6" s="305">
        <v>355</v>
      </c>
      <c r="AR6" s="305">
        <v>-60.916339626826918</v>
      </c>
      <c r="AS6" s="305">
        <v>53.965959520265365</v>
      </c>
      <c r="AT6" s="305">
        <v>1510.1520124964713</v>
      </c>
      <c r="AU6" s="305">
        <v>1337.8479875035287</v>
      </c>
      <c r="AV6" s="305">
        <v>1491.6708789261711</v>
      </c>
      <c r="AW6" s="305">
        <v>-38.849818</v>
      </c>
      <c r="AX6" s="305">
        <v>0.010277</v>
      </c>
      <c r="AY6" s="305">
        <v>-125.816595</v>
      </c>
      <c r="AZ6" s="305" t="s">
        <v>27</v>
      </c>
      <c r="BA6" s="305">
        <v>1480.1520124964713</v>
      </c>
      <c r="BB6" s="305">
        <v>-605.705532</v>
      </c>
      <c r="BC6" s="305">
        <v>-0.853158</v>
      </c>
      <c r="BD6" s="305">
        <v>-1120.933</v>
      </c>
      <c r="BE6" s="305">
        <v>1990.759</v>
      </c>
      <c r="BF6" s="305">
        <v>2.708778</v>
      </c>
      <c r="BG6" s="305">
        <v>3758.116</v>
      </c>
      <c r="BH6" s="67">
        <v>380</v>
      </c>
      <c r="BI6" s="0">
        <v>380</v>
      </c>
      <c r="BJ6" s="0" t="s">
        <v>121</v>
      </c>
      <c r="BK6" s="0">
        <v>281.00324787526949</v>
      </c>
      <c r="BL6" s="0">
        <v>81442.416969335929</v>
      </c>
      <c r="BM6" s="0">
        <v>1135.546</v>
      </c>
      <c r="BN6" s="0">
        <v>988.867599</v>
      </c>
      <c r="BO6" s="0">
        <v>3861.867547</v>
      </c>
      <c r="BP6" s="0">
        <v>-180.27271443749999</v>
      </c>
      <c r="BQ6" s="0">
        <v>133222494.07610732</v>
      </c>
      <c r="BR6" s="0">
        <v>133222494.07610732</v>
      </c>
      <c r="BS6" s="0">
        <v>161776160.43620879</v>
      </c>
      <c r="BT6" s="0">
        <v>172894999.11348805</v>
      </c>
      <c r="BU6" s="0">
        <v>118022188.571124</v>
      </c>
      <c r="BV6" s="0">
        <v>118022188.571124</v>
      </c>
      <c r="BW6" s="0">
        <v>366632360.06714731</v>
      </c>
      <c r="BX6" s="0">
        <v>951896459.6634047</v>
      </c>
      <c r="BY6" s="0">
        <v>135039373.68351251</v>
      </c>
      <c r="BZ6" s="0">
        <v>142261789.70873714</v>
      </c>
      <c r="CA6" s="0">
        <v>597207231.6297816</v>
      </c>
      <c r="CB6" s="0">
        <v>-699.254298</v>
      </c>
      <c r="CC6" s="0">
        <v>-72.158941</v>
      </c>
      <c r="CD6" s="0">
        <v>759.1027198125</v>
      </c>
      <c r="CE6" s="0">
        <v>-3702.261824</v>
      </c>
      <c r="CF6" s="0">
        <v>437.77444577207143</v>
      </c>
      <c r="CG6" s="0">
        <v>2410.2255542279286</v>
      </c>
      <c r="CH6" s="0">
        <v>-76.136272037406783</v>
      </c>
      <c r="CI6" s="0">
        <v>112.11454550982646</v>
      </c>
      <c r="CJ6" s="0">
        <v>-328.094012</v>
      </c>
      <c r="CK6" s="0">
        <v>-295.18889</v>
      </c>
      <c r="CL6" s="0">
        <v>87.9358411875</v>
      </c>
      <c r="CM6" s="0">
        <v>-1168.3867653749999</v>
      </c>
      <c r="CN6" s="305">
        <v>-59.8016013595449</v>
      </c>
      <c r="CO6" s="305">
        <v>85.342014329563426</v>
      </c>
      <c r="CP6" s="305">
        <v>643304081.81642187</v>
      </c>
      <c r="CQ6" s="0">
        <v>-51.830305125679814</v>
      </c>
      <c r="CR6" s="0">
        <v>50.192009493001464</v>
      </c>
      <c r="CS6" s="0">
        <v>0.75948825963239763</v>
      </c>
      <c r="CT6" s="0">
        <v>4.1814638318454422</v>
      </c>
      <c r="CU6" s="0">
        <v>2406.7982716579568</v>
      </c>
      <c r="CV6" s="0">
        <v>28.217528</v>
      </c>
      <c r="CW6" s="0">
        <v>-290.850885</v>
      </c>
    </row>
    <row r="7">
      <c r="A7" s="173" t="s">
        <v>124</v>
      </c>
      <c r="B7" s="279" t="s">
        <v>125</v>
      </c>
      <c r="D7" s="0">
        <v>103</v>
      </c>
      <c r="E7" s="0" t="s">
        <v>126</v>
      </c>
      <c r="F7" s="0">
        <v>3175</v>
      </c>
      <c r="G7" s="0">
        <v>0</v>
      </c>
      <c r="H7" s="0">
        <v>2</v>
      </c>
      <c r="I7" s="0">
        <v>500</v>
      </c>
      <c r="J7" s="0">
        <v>30</v>
      </c>
      <c r="K7" s="0">
        <v>1936.3312351792665</v>
      </c>
      <c r="L7" s="0">
        <v>18</v>
      </c>
      <c r="M7" s="0">
        <v>120</v>
      </c>
      <c r="N7" s="0">
        <v>2800</v>
      </c>
      <c r="O7" s="0">
        <v>12</v>
      </c>
      <c r="P7" s="0">
        <v>0.125</v>
      </c>
      <c r="Q7" s="0">
        <v>0</v>
      </c>
      <c r="R7" s="0">
        <v>290</v>
      </c>
      <c r="S7" s="0">
        <v>0</v>
      </c>
      <c r="T7" s="0">
        <v>0</v>
      </c>
      <c r="U7" s="0">
        <v>2400</v>
      </c>
      <c r="V7" s="0">
        <v>2400</v>
      </c>
      <c r="W7" s="0">
        <v>0</v>
      </c>
      <c r="X7" s="0">
        <v>0</v>
      </c>
      <c r="Y7" s="0">
        <v>6100</v>
      </c>
      <c r="Z7" s="0">
        <v>65080</v>
      </c>
      <c r="AA7" s="0">
        <v>5450</v>
      </c>
      <c r="AB7" s="0">
        <v>2</v>
      </c>
      <c r="AC7" s="0">
        <v>1587.5</v>
      </c>
      <c r="AD7" s="0">
        <v>2</v>
      </c>
      <c r="AE7" s="0">
        <v>10</v>
      </c>
      <c r="AF7" s="0">
        <v>160</v>
      </c>
      <c r="AG7" s="0">
        <v>0</v>
      </c>
      <c r="AH7" s="0">
        <v>0</v>
      </c>
      <c r="AI7" s="0">
        <v>0</v>
      </c>
      <c r="AJ7" s="0">
        <v>5428.6721054031623</v>
      </c>
      <c r="AK7" s="0">
        <v>5428.6721054031623</v>
      </c>
      <c r="AL7" s="0">
        <v>0</v>
      </c>
      <c r="AM7" s="305">
        <v>3175</v>
      </c>
      <c r="AN7" s="305">
        <v>700</v>
      </c>
      <c r="AO7" s="305">
        <v>380</v>
      </c>
      <c r="AP7" s="305">
        <v>380</v>
      </c>
      <c r="AQ7" s="305">
        <v>355</v>
      </c>
      <c r="AR7" s="305">
        <v>-60.916339626826918</v>
      </c>
      <c r="AS7" s="305">
        <v>53.965959520265365</v>
      </c>
      <c r="AT7" s="305">
        <v>1510.1520124964713</v>
      </c>
      <c r="AU7" s="305">
        <v>1337.8479875035287</v>
      </c>
      <c r="AV7" s="305">
        <v>1491.6708789261711</v>
      </c>
      <c r="AW7" s="305">
        <v>-38.849818</v>
      </c>
      <c r="AX7" s="305">
        <v>0.010277</v>
      </c>
      <c r="AY7" s="305">
        <v>-125.816595</v>
      </c>
      <c r="AZ7" s="305" t="s">
        <v>27</v>
      </c>
      <c r="BA7" s="305">
        <v>1480.1520124964713</v>
      </c>
      <c r="BB7" s="305">
        <v>-605.705532</v>
      </c>
      <c r="BC7" s="305">
        <v>-0.853158</v>
      </c>
      <c r="BD7" s="305">
        <v>-1120.933</v>
      </c>
      <c r="BE7" s="305">
        <v>1990.759</v>
      </c>
      <c r="BF7" s="305">
        <v>2.708778</v>
      </c>
      <c r="BG7" s="305">
        <v>3758.116</v>
      </c>
      <c r="BH7" s="67">
        <v>380</v>
      </c>
      <c r="BI7" s="0">
        <v>380</v>
      </c>
      <c r="BJ7" s="0" t="s">
        <v>121</v>
      </c>
      <c r="BK7" s="0">
        <v>281.00324787526949</v>
      </c>
      <c r="BL7" s="0">
        <v>81442.416969335929</v>
      </c>
      <c r="BM7" s="0">
        <v>1135.546</v>
      </c>
      <c r="BN7" s="0">
        <v>988.867599</v>
      </c>
      <c r="BO7" s="0">
        <v>3861.867547</v>
      </c>
      <c r="BP7" s="0">
        <v>-180.27271443749999</v>
      </c>
      <c r="BQ7" s="0">
        <v>133222494.07610732</v>
      </c>
      <c r="BR7" s="0">
        <v>133222494.07610732</v>
      </c>
      <c r="BS7" s="0">
        <v>161776160.43620879</v>
      </c>
      <c r="BT7" s="0">
        <v>172894999.11348805</v>
      </c>
      <c r="BU7" s="0">
        <v>118022188.571124</v>
      </c>
      <c r="BV7" s="0">
        <v>118022188.571124</v>
      </c>
      <c r="BW7" s="0">
        <v>366632360.06714731</v>
      </c>
      <c r="BX7" s="0">
        <v>951896459.6634047</v>
      </c>
      <c r="BY7" s="0">
        <v>135039373.68351251</v>
      </c>
      <c r="BZ7" s="0">
        <v>142261789.70873714</v>
      </c>
      <c r="CA7" s="0">
        <v>597207231.6297816</v>
      </c>
      <c r="CB7" s="0">
        <v>-699.254298</v>
      </c>
      <c r="CC7" s="0">
        <v>-72.158941</v>
      </c>
      <c r="CD7" s="0">
        <v>759.1027198125</v>
      </c>
      <c r="CE7" s="0">
        <v>-3702.261824</v>
      </c>
      <c r="CF7" s="0">
        <v>437.77444577207143</v>
      </c>
      <c r="CG7" s="0">
        <v>2410.2255542279286</v>
      </c>
      <c r="CH7" s="0">
        <v>-76.136272037406783</v>
      </c>
      <c r="CI7" s="0">
        <v>112.11454550982646</v>
      </c>
      <c r="CJ7" s="0">
        <v>-328.094012</v>
      </c>
      <c r="CK7" s="0">
        <v>-295.18889</v>
      </c>
      <c r="CL7" s="0">
        <v>87.9358411875</v>
      </c>
      <c r="CM7" s="0">
        <v>-1168.3867653749999</v>
      </c>
      <c r="CN7" s="305">
        <v>-59.8016013595449</v>
      </c>
      <c r="CO7" s="305">
        <v>85.342014329563426</v>
      </c>
      <c r="CP7" s="305">
        <v>643304081.81642187</v>
      </c>
      <c r="CQ7" s="0">
        <v>-51.830305125679814</v>
      </c>
      <c r="CR7" s="0">
        <v>50.192009493001464</v>
      </c>
      <c r="CS7" s="0">
        <v>0.75948825963239763</v>
      </c>
      <c r="CT7" s="0">
        <v>4.1814638318454422</v>
      </c>
      <c r="CU7" s="0">
        <v>2406.7982716579568</v>
      </c>
      <c r="CV7" s="0">
        <v>28.217528</v>
      </c>
      <c r="CW7" s="0">
        <v>-290.850885</v>
      </c>
    </row>
    <row r="8">
      <c r="A8" s="173" t="s">
        <v>127</v>
      </c>
      <c r="B8" s="279" t="s">
        <v>128</v>
      </c>
      <c r="D8" s="0">
        <v>103</v>
      </c>
      <c r="E8" s="0" t="s">
        <v>126</v>
      </c>
      <c r="F8" s="0">
        <v>3175</v>
      </c>
      <c r="G8" s="0">
        <v>0</v>
      </c>
      <c r="H8" s="0">
        <v>2</v>
      </c>
      <c r="I8" s="0">
        <v>500</v>
      </c>
      <c r="J8" s="0">
        <v>30</v>
      </c>
      <c r="K8" s="0">
        <v>1936.3312351792665</v>
      </c>
      <c r="L8" s="0">
        <v>18</v>
      </c>
      <c r="M8" s="0">
        <v>120</v>
      </c>
      <c r="N8" s="0">
        <v>2800</v>
      </c>
      <c r="O8" s="0">
        <v>12</v>
      </c>
      <c r="P8" s="0">
        <v>0.125</v>
      </c>
      <c r="Q8" s="0">
        <v>0</v>
      </c>
      <c r="R8" s="0">
        <v>290</v>
      </c>
      <c r="S8" s="0">
        <v>0</v>
      </c>
      <c r="T8" s="0">
        <v>0</v>
      </c>
      <c r="U8" s="0">
        <v>2400</v>
      </c>
      <c r="V8" s="0">
        <v>2400</v>
      </c>
      <c r="W8" s="0">
        <v>0</v>
      </c>
      <c r="X8" s="0">
        <v>0</v>
      </c>
      <c r="Y8" s="0">
        <v>6100</v>
      </c>
      <c r="Z8" s="0">
        <v>65080</v>
      </c>
      <c r="AA8" s="0">
        <v>5450</v>
      </c>
      <c r="AB8" s="0">
        <v>2</v>
      </c>
      <c r="AC8" s="0">
        <v>1587.5</v>
      </c>
      <c r="AD8" s="0">
        <v>2</v>
      </c>
      <c r="AE8" s="0">
        <v>10</v>
      </c>
      <c r="AF8" s="0">
        <v>160</v>
      </c>
      <c r="AG8" s="0">
        <v>0</v>
      </c>
      <c r="AH8" s="0">
        <v>0</v>
      </c>
      <c r="AI8" s="0">
        <v>0</v>
      </c>
      <c r="AJ8" s="0">
        <v>5428.6721054031623</v>
      </c>
      <c r="AK8" s="0">
        <v>5428.6721054031623</v>
      </c>
      <c r="AL8" s="0">
        <v>0</v>
      </c>
      <c r="AM8" s="305">
        <v>3175</v>
      </c>
      <c r="AN8" s="305">
        <v>700</v>
      </c>
      <c r="AO8" s="305">
        <v>380</v>
      </c>
      <c r="AP8" s="305">
        <v>380</v>
      </c>
      <c r="AQ8" s="305">
        <v>355</v>
      </c>
      <c r="AR8" s="305">
        <v>-116.10105574971971</v>
      </c>
      <c r="AS8" s="305">
        <v>102.85425738368204</v>
      </c>
      <c r="AT8" s="305">
        <v>1510.1520124964713</v>
      </c>
      <c r="AU8" s="305">
        <v>1337.8479875035287</v>
      </c>
      <c r="AV8" s="305">
        <v>1491.6708789261711</v>
      </c>
      <c r="AW8" s="305">
        <v>-38.849818</v>
      </c>
      <c r="AX8" s="305">
        <v>0.010277</v>
      </c>
      <c r="AY8" s="305">
        <v>-85.044635</v>
      </c>
      <c r="AZ8" s="305" t="s">
        <v>27</v>
      </c>
      <c r="BA8" s="305">
        <v>1480.1520124964713</v>
      </c>
      <c r="BB8" s="305">
        <v>-558.326639</v>
      </c>
      <c r="BC8" s="305">
        <v>-0.853158</v>
      </c>
      <c r="BD8" s="305">
        <v>-995.480604</v>
      </c>
      <c r="BE8" s="305">
        <v>3838.66</v>
      </c>
      <c r="BF8" s="305">
        <v>5.417556</v>
      </c>
      <c r="BG8" s="305">
        <v>7117.923</v>
      </c>
      <c r="BH8" s="67">
        <v>380</v>
      </c>
      <c r="BI8" s="0">
        <v>380</v>
      </c>
      <c r="BJ8" s="0" t="s">
        <v>121</v>
      </c>
      <c r="BK8" s="0">
        <v>281.00324787526949</v>
      </c>
      <c r="BL8" s="0">
        <v>81442.416969335929</v>
      </c>
      <c r="BM8" s="0">
        <v>2083.393</v>
      </c>
      <c r="BN8" s="0">
        <v>1874.449</v>
      </c>
      <c r="BO8" s="0">
        <v>6922.4331250000005</v>
      </c>
      <c r="BP8" s="0">
        <v>-360.5486894375</v>
      </c>
      <c r="BQ8" s="0">
        <v>133222494.07610732</v>
      </c>
      <c r="BR8" s="0">
        <v>133222494.07610732</v>
      </c>
      <c r="BS8" s="0">
        <v>161776160.43620879</v>
      </c>
      <c r="BT8" s="0">
        <v>172894999.11348805</v>
      </c>
      <c r="BU8" s="0">
        <v>118022188.571124</v>
      </c>
      <c r="BV8" s="0">
        <v>118022188.571124</v>
      </c>
      <c r="BW8" s="0">
        <v>366632360.06714731</v>
      </c>
      <c r="BX8" s="0">
        <v>951896459.6634047</v>
      </c>
      <c r="BY8" s="0">
        <v>135039373.68351251</v>
      </c>
      <c r="BZ8" s="0">
        <v>142261789.70873714</v>
      </c>
      <c r="CA8" s="0">
        <v>597207231.6297816</v>
      </c>
      <c r="CB8" s="0">
        <v>-532.244535</v>
      </c>
      <c r="CC8" s="0">
        <v>-61.586349</v>
      </c>
      <c r="CD8" s="0">
        <v>991.19535175</v>
      </c>
      <c r="CE8" s="0">
        <v>-3149.8637995</v>
      </c>
      <c r="CF8" s="0">
        <v>437.77444577207143</v>
      </c>
      <c r="CG8" s="0">
        <v>2410.2255542279286</v>
      </c>
      <c r="CH8" s="0">
        <v>-143.96317221123624</v>
      </c>
      <c r="CI8" s="0">
        <v>208.40114454851795</v>
      </c>
      <c r="CJ8" s="0">
        <v>-268.975512</v>
      </c>
      <c r="CK8" s="0">
        <v>-262.65784</v>
      </c>
      <c r="CL8" s="0">
        <v>154.4405475</v>
      </c>
      <c r="CM8" s="0">
        <v>-1008.1122778124999</v>
      </c>
      <c r="CN8" s="305">
        <v>-113.12989976853996</v>
      </c>
      <c r="CO8" s="305">
        <v>158.79820801203957</v>
      </c>
      <c r="CP8" s="305">
        <v>643304081.81642187</v>
      </c>
      <c r="CQ8" s="0">
        <v>-98.563357184367149</v>
      </c>
      <c r="CR8" s="0">
        <v>95.1616507260982</v>
      </c>
      <c r="CS8" s="0">
        <v>1.3344091246532799</v>
      </c>
      <c r="CT8" s="0">
        <v>7.3467672750108264</v>
      </c>
      <c r="CU8" s="0">
        <v>2406.7982716579568</v>
      </c>
      <c r="CV8" s="0">
        <v>54.635734</v>
      </c>
      <c r="CW8" s="0">
        <v>-253.960398</v>
      </c>
    </row>
    <row r="9">
      <c r="A9" s="173" t="s">
        <v>129</v>
      </c>
      <c r="B9" s="279" t="s">
        <v>121</v>
      </c>
      <c r="D9" s="0">
        <v>104</v>
      </c>
      <c r="E9" s="0" t="s">
        <v>130</v>
      </c>
      <c r="F9" s="0">
        <v>6350</v>
      </c>
      <c r="G9" s="0">
        <v>0</v>
      </c>
      <c r="H9" s="0">
        <v>2</v>
      </c>
      <c r="I9" s="0">
        <v>500</v>
      </c>
      <c r="J9" s="0">
        <v>30</v>
      </c>
      <c r="K9" s="0">
        <v>1936.3312351792665</v>
      </c>
      <c r="L9" s="0">
        <v>18</v>
      </c>
      <c r="M9" s="0">
        <v>120</v>
      </c>
      <c r="N9" s="0">
        <v>2800</v>
      </c>
      <c r="O9" s="0">
        <v>12</v>
      </c>
      <c r="P9" s="0">
        <v>0.125</v>
      </c>
      <c r="Q9" s="0">
        <v>0</v>
      </c>
      <c r="R9" s="0">
        <v>290</v>
      </c>
      <c r="S9" s="0">
        <v>0</v>
      </c>
      <c r="T9" s="0">
        <v>0</v>
      </c>
      <c r="U9" s="0">
        <v>2400</v>
      </c>
      <c r="V9" s="0">
        <v>2400</v>
      </c>
      <c r="W9" s="0">
        <v>0</v>
      </c>
      <c r="X9" s="0">
        <v>0</v>
      </c>
      <c r="Y9" s="0">
        <v>6100</v>
      </c>
      <c r="Z9" s="0">
        <v>65080</v>
      </c>
      <c r="AA9" s="0">
        <v>5450</v>
      </c>
      <c r="AB9" s="0">
        <v>2</v>
      </c>
      <c r="AC9" s="0">
        <v>2500</v>
      </c>
      <c r="AD9" s="0">
        <v>2</v>
      </c>
      <c r="AE9" s="0">
        <v>10</v>
      </c>
      <c r="AF9" s="0">
        <v>160</v>
      </c>
      <c r="AG9" s="0">
        <v>0</v>
      </c>
      <c r="AH9" s="0">
        <v>0</v>
      </c>
      <c r="AI9" s="0">
        <v>0</v>
      </c>
      <c r="AJ9" s="0">
        <v>5428.6721054031623</v>
      </c>
      <c r="AK9" s="0">
        <v>5428.6721054031623</v>
      </c>
      <c r="AL9" s="0">
        <v>0</v>
      </c>
      <c r="AM9" s="305">
        <v>5000</v>
      </c>
      <c r="AN9" s="305">
        <v>700</v>
      </c>
      <c r="AO9" s="305">
        <v>380</v>
      </c>
      <c r="AP9" s="305">
        <v>380</v>
      </c>
      <c r="AQ9" s="305">
        <v>355</v>
      </c>
      <c r="AR9" s="305">
        <v>-116.10104515849093</v>
      </c>
      <c r="AS9" s="305">
        <v>102.85424800088219</v>
      </c>
      <c r="AT9" s="305">
        <v>1510.1520124964713</v>
      </c>
      <c r="AU9" s="305">
        <v>1337.8479875035287</v>
      </c>
      <c r="AV9" s="305">
        <v>1491.6708789261711</v>
      </c>
      <c r="AW9" s="305">
        <v>-24.653655</v>
      </c>
      <c r="AX9" s="305">
        <v>0.009971</v>
      </c>
      <c r="AY9" s="305">
        <v>-127.230034</v>
      </c>
      <c r="AZ9" s="305" t="s">
        <v>27</v>
      </c>
      <c r="BA9" s="305">
        <v>1480.1520124964713</v>
      </c>
      <c r="BB9" s="305">
        <v>-544.240858</v>
      </c>
      <c r="BC9" s="305">
        <v>-0.853525</v>
      </c>
      <c r="BD9" s="305">
        <v>-992.592667</v>
      </c>
      <c r="BE9" s="305">
        <v>3838.66</v>
      </c>
      <c r="BF9" s="305">
        <v>5.417556</v>
      </c>
      <c r="BG9" s="305">
        <v>7117.922</v>
      </c>
      <c r="BH9" s="67">
        <v>380</v>
      </c>
      <c r="BI9" s="0">
        <v>380</v>
      </c>
      <c r="BJ9" s="0" t="s">
        <v>121</v>
      </c>
      <c r="BK9" s="0">
        <v>281.00324787526949</v>
      </c>
      <c r="BL9" s="0">
        <v>81442.416969335929</v>
      </c>
      <c r="BM9" s="0">
        <v>2083.392</v>
      </c>
      <c r="BN9" s="0">
        <v>1874.449</v>
      </c>
      <c r="BO9" s="0">
        <v>6922.428249999999</v>
      </c>
      <c r="BP9" s="0">
        <v>-360.5484525625</v>
      </c>
      <c r="BQ9" s="0">
        <v>133222494.07610732</v>
      </c>
      <c r="BR9" s="0">
        <v>133222494.07610732</v>
      </c>
      <c r="BS9" s="0">
        <v>161776160.43620879</v>
      </c>
      <c r="BT9" s="0">
        <v>172894999.11348805</v>
      </c>
      <c r="BU9" s="0">
        <v>118022188.571124</v>
      </c>
      <c r="BV9" s="0">
        <v>118022188.571124</v>
      </c>
      <c r="BW9" s="0">
        <v>366632360.06714731</v>
      </c>
      <c r="BX9" s="0">
        <v>951896459.6634047</v>
      </c>
      <c r="BY9" s="0">
        <v>135039373.68351251</v>
      </c>
      <c r="BZ9" s="0">
        <v>142261789.70873714</v>
      </c>
      <c r="CA9" s="0">
        <v>597207231.6297816</v>
      </c>
      <c r="CB9" s="0">
        <v>-670.614367</v>
      </c>
      <c r="CC9" s="0">
        <v>-62.627345</v>
      </c>
      <c r="CD9" s="0">
        <v>796.10329887500006</v>
      </c>
      <c r="CE9" s="0">
        <v>-3610.1435945</v>
      </c>
      <c r="CF9" s="0">
        <v>437.77444577207143</v>
      </c>
      <c r="CG9" s="0">
        <v>2410.2255542279286</v>
      </c>
      <c r="CH9" s="0">
        <v>-143.96314899215798</v>
      </c>
      <c r="CI9" s="0">
        <v>208.4010766856448</v>
      </c>
      <c r="CJ9" s="0">
        <v>-291.551033</v>
      </c>
      <c r="CK9" s="0">
        <v>-259.630249</v>
      </c>
      <c r="CL9" s="0">
        <v>109.88946687500001</v>
      </c>
      <c r="CM9" s="0">
        <v>-1089.194398625</v>
      </c>
      <c r="CN9" s="305">
        <v>-113.12988191026707</v>
      </c>
      <c r="CO9" s="305">
        <v>158.79815766922366</v>
      </c>
      <c r="CP9" s="305">
        <v>643304081.81642187</v>
      </c>
      <c r="CQ9" s="0">
        <v>-98.5633459838562</v>
      </c>
      <c r="CR9" s="0">
        <v>95.161637038477835</v>
      </c>
      <c r="CS9" s="0">
        <v>1.3344082752961972</v>
      </c>
      <c r="CT9" s="0">
        <v>7.3467625987622132</v>
      </c>
      <c r="CU9" s="0">
        <v>1319.8720409480259</v>
      </c>
      <c r="CV9" s="0">
        <v>31.871645</v>
      </c>
      <c r="CW9" s="0">
        <v>-273.223936</v>
      </c>
    </row>
    <row r="10">
      <c r="D10" s="0">
        <v>104</v>
      </c>
      <c r="E10" s="0" t="s">
        <v>130</v>
      </c>
      <c r="F10" s="0">
        <v>6350</v>
      </c>
      <c r="G10" s="0">
        <v>0</v>
      </c>
      <c r="H10" s="0">
        <v>2</v>
      </c>
      <c r="I10" s="0">
        <v>500</v>
      </c>
      <c r="J10" s="0">
        <v>30</v>
      </c>
      <c r="K10" s="0">
        <v>1936.3312351792665</v>
      </c>
      <c r="L10" s="0">
        <v>18</v>
      </c>
      <c r="M10" s="0">
        <v>120</v>
      </c>
      <c r="N10" s="0">
        <v>2800</v>
      </c>
      <c r="O10" s="0">
        <v>12</v>
      </c>
      <c r="P10" s="0">
        <v>0.125</v>
      </c>
      <c r="Q10" s="0">
        <v>0</v>
      </c>
      <c r="R10" s="0">
        <v>290</v>
      </c>
      <c r="S10" s="0">
        <v>0</v>
      </c>
      <c r="T10" s="0">
        <v>0</v>
      </c>
      <c r="U10" s="0">
        <v>2400</v>
      </c>
      <c r="V10" s="0">
        <v>2400</v>
      </c>
      <c r="W10" s="0">
        <v>0</v>
      </c>
      <c r="X10" s="0">
        <v>0</v>
      </c>
      <c r="Y10" s="0">
        <v>6100</v>
      </c>
      <c r="Z10" s="0">
        <v>65080</v>
      </c>
      <c r="AA10" s="0">
        <v>5450</v>
      </c>
      <c r="AB10" s="0">
        <v>2</v>
      </c>
      <c r="AC10" s="0">
        <v>2500</v>
      </c>
      <c r="AD10" s="0">
        <v>2</v>
      </c>
      <c r="AE10" s="0">
        <v>10</v>
      </c>
      <c r="AF10" s="0">
        <v>160</v>
      </c>
      <c r="AG10" s="0">
        <v>0</v>
      </c>
      <c r="AH10" s="0">
        <v>0</v>
      </c>
      <c r="AI10" s="0">
        <v>0</v>
      </c>
      <c r="AJ10" s="0">
        <v>5428.6721054031623</v>
      </c>
      <c r="AK10" s="0">
        <v>5428.6721054031623</v>
      </c>
      <c r="AL10" s="0">
        <v>0</v>
      </c>
      <c r="AM10" s="305">
        <v>5000</v>
      </c>
      <c r="AN10" s="305">
        <v>700</v>
      </c>
      <c r="AO10" s="305">
        <v>380</v>
      </c>
      <c r="AP10" s="305">
        <v>380</v>
      </c>
      <c r="AQ10" s="305">
        <v>355</v>
      </c>
      <c r="AR10" s="305">
        <v>-190.32437245021407</v>
      </c>
      <c r="AS10" s="305">
        <v>168.6089059567345</v>
      </c>
      <c r="AT10" s="305">
        <v>1510.1520124964713</v>
      </c>
      <c r="AU10" s="305">
        <v>1337.8479875035287</v>
      </c>
      <c r="AV10" s="305">
        <v>1491.6708789261711</v>
      </c>
      <c r="AW10" s="305">
        <v>-24.653655</v>
      </c>
      <c r="AX10" s="305">
        <v>0.009971</v>
      </c>
      <c r="AY10" s="305">
        <v>-63.022222</v>
      </c>
      <c r="AZ10" s="305" t="s">
        <v>27</v>
      </c>
      <c r="BA10" s="305">
        <v>1480.1520124964713</v>
      </c>
      <c r="BB10" s="305">
        <v>-469.628428</v>
      </c>
      <c r="BC10" s="305">
        <v>-0.853525</v>
      </c>
      <c r="BD10" s="305">
        <v>-795.030167</v>
      </c>
      <c r="BE10" s="305">
        <v>6373.334</v>
      </c>
      <c r="BF10" s="305">
        <v>9.68518</v>
      </c>
      <c r="BG10" s="305">
        <v>11586.98</v>
      </c>
      <c r="BH10" s="67">
        <v>380</v>
      </c>
      <c r="BI10" s="0">
        <v>380</v>
      </c>
      <c r="BJ10" s="0" t="s">
        <v>121</v>
      </c>
      <c r="BK10" s="0">
        <v>281.00324787526949</v>
      </c>
      <c r="BL10" s="0">
        <v>81442.416969335929</v>
      </c>
      <c r="BM10" s="0">
        <v>3308.397</v>
      </c>
      <c r="BN10" s="0">
        <v>3044.525</v>
      </c>
      <c r="BO10" s="0">
        <v>10936.155875</v>
      </c>
      <c r="BP10" s="0">
        <v>-629.883324</v>
      </c>
      <c r="BQ10" s="0">
        <v>133222494.07610732</v>
      </c>
      <c r="BR10" s="0">
        <v>133222494.07610732</v>
      </c>
      <c r="BS10" s="0">
        <v>161776160.43620879</v>
      </c>
      <c r="BT10" s="0">
        <v>172894999.11348805</v>
      </c>
      <c r="BU10" s="0">
        <v>118022188.571124</v>
      </c>
      <c r="BV10" s="0">
        <v>118022188.571124</v>
      </c>
      <c r="BW10" s="0">
        <v>366632360.06714731</v>
      </c>
      <c r="BX10" s="0">
        <v>951896459.6634047</v>
      </c>
      <c r="BY10" s="0">
        <v>135039373.68351251</v>
      </c>
      <c r="BZ10" s="0">
        <v>142261789.70873714</v>
      </c>
      <c r="CA10" s="0">
        <v>597207231.6297816</v>
      </c>
      <c r="CB10" s="0">
        <v>-407.606867</v>
      </c>
      <c r="CC10" s="0">
        <v>-45.977595</v>
      </c>
      <c r="CD10" s="0">
        <v>1182.91037</v>
      </c>
      <c r="CE10" s="0">
        <v>-2841.2876010000004</v>
      </c>
      <c r="CF10" s="0">
        <v>437.77444577207143</v>
      </c>
      <c r="CG10" s="0">
        <v>2410.2255542279286</v>
      </c>
      <c r="CH10" s="0">
        <v>-234.73994918744216</v>
      </c>
      <c r="CI10" s="0">
        <v>336.25672951798322</v>
      </c>
      <c r="CJ10" s="0">
        <v>-198.451033</v>
      </c>
      <c r="CK10" s="0">
        <v>-208.400249</v>
      </c>
      <c r="CL10" s="0">
        <v>223.28104762499999</v>
      </c>
      <c r="CM10" s="0">
        <v>-862.0338995</v>
      </c>
      <c r="CN10" s="305">
        <v>-184.52272080778528</v>
      </c>
      <c r="CO10" s="305">
        <v>256.38606705974013</v>
      </c>
      <c r="CP10" s="305">
        <v>643304081.81642187</v>
      </c>
      <c r="CQ10" s="0">
        <v>-161.28324316202435</v>
      </c>
      <c r="CR10" s="0">
        <v>155.33758539617108</v>
      </c>
      <c r="CS10" s="0">
        <v>2.0812650783999596</v>
      </c>
      <c r="CT10" s="0">
        <v>11.458682263271111</v>
      </c>
      <c r="CU10" s="0">
        <v>1319.8720409480259</v>
      </c>
      <c r="CV10" s="0">
        <v>70.737161</v>
      </c>
      <c r="CW10" s="0">
        <v>-222.073961</v>
      </c>
    </row>
    <row r="11">
      <c r="D11" s="0">
        <v>105</v>
      </c>
      <c r="E11" s="0" t="s">
        <v>126</v>
      </c>
      <c r="F11" s="0">
        <v>11350</v>
      </c>
      <c r="G11" s="0">
        <v>0</v>
      </c>
      <c r="H11" s="0">
        <v>2</v>
      </c>
      <c r="I11" s="0">
        <v>500</v>
      </c>
      <c r="J11" s="0">
        <v>38</v>
      </c>
      <c r="K11" s="0">
        <v>1936.3312351792665</v>
      </c>
      <c r="L11" s="0">
        <v>34</v>
      </c>
      <c r="M11" s="0">
        <v>120</v>
      </c>
      <c r="N11" s="0">
        <v>2800</v>
      </c>
      <c r="O11" s="0">
        <v>12</v>
      </c>
      <c r="P11" s="0">
        <v>0.125</v>
      </c>
      <c r="Q11" s="0">
        <v>0</v>
      </c>
      <c r="R11" s="0">
        <v>290</v>
      </c>
      <c r="S11" s="0">
        <v>0</v>
      </c>
      <c r="T11" s="0">
        <v>0</v>
      </c>
      <c r="U11" s="0">
        <v>2400</v>
      </c>
      <c r="V11" s="0">
        <v>2400</v>
      </c>
      <c r="W11" s="0">
        <v>0</v>
      </c>
      <c r="X11" s="0">
        <v>0</v>
      </c>
      <c r="Y11" s="0">
        <v>6100</v>
      </c>
      <c r="Z11" s="0">
        <v>65080</v>
      </c>
      <c r="AA11" s="0">
        <v>5450</v>
      </c>
      <c r="AB11" s="0">
        <v>2</v>
      </c>
      <c r="AC11" s="0">
        <v>2500</v>
      </c>
      <c r="AD11" s="0">
        <v>2</v>
      </c>
      <c r="AE11" s="0">
        <v>10</v>
      </c>
      <c r="AF11" s="0">
        <v>160</v>
      </c>
      <c r="AG11" s="0">
        <v>0</v>
      </c>
      <c r="AH11" s="0">
        <v>0</v>
      </c>
      <c r="AI11" s="0">
        <v>0</v>
      </c>
      <c r="AJ11" s="0">
        <v>5428.6721054031623</v>
      </c>
      <c r="AK11" s="0">
        <v>5428.6721054031623</v>
      </c>
      <c r="AL11" s="0">
        <v>0</v>
      </c>
      <c r="AM11" s="305">
        <v>5000</v>
      </c>
      <c r="AN11" s="305">
        <v>700</v>
      </c>
      <c r="AO11" s="305">
        <v>380</v>
      </c>
      <c r="AP11" s="305">
        <v>380</v>
      </c>
      <c r="AQ11" s="305">
        <v>355</v>
      </c>
      <c r="AR11" s="305">
        <v>-153.03386268447656</v>
      </c>
      <c r="AS11" s="305">
        <v>107.42989718495863</v>
      </c>
      <c r="AT11" s="305">
        <v>1687.4257434129611</v>
      </c>
      <c r="AU11" s="305">
        <v>1184.5742565870389</v>
      </c>
      <c r="AV11" s="305">
        <v>1662.2619350092803</v>
      </c>
      <c r="AW11" s="305">
        <v>-24.653655</v>
      </c>
      <c r="AX11" s="305">
        <v>0.009971</v>
      </c>
      <c r="AY11" s="305">
        <v>-63.022222</v>
      </c>
      <c r="AZ11" s="305" t="s">
        <v>27</v>
      </c>
      <c r="BA11" s="305">
        <v>1649.4257434129611</v>
      </c>
      <c r="BB11" s="305">
        <v>-469.628428</v>
      </c>
      <c r="BC11" s="305">
        <v>-0.853525</v>
      </c>
      <c r="BD11" s="305">
        <v>-795.030167</v>
      </c>
      <c r="BE11" s="305">
        <v>6373.334</v>
      </c>
      <c r="BF11" s="305">
        <v>9.68518</v>
      </c>
      <c r="BG11" s="305">
        <v>11586.98</v>
      </c>
      <c r="BH11" s="67">
        <v>380</v>
      </c>
      <c r="BI11" s="0">
        <v>380</v>
      </c>
      <c r="BJ11" s="0" t="s">
        <v>131</v>
      </c>
      <c r="BK11" s="0">
        <v>17.571293437192708</v>
      </c>
      <c r="BL11" s="0">
        <v>115005.95080917356</v>
      </c>
      <c r="BM11" s="0">
        <v>3308.397</v>
      </c>
      <c r="BN11" s="0">
        <v>3044.525</v>
      </c>
      <c r="BO11" s="0">
        <v>10936.155875</v>
      </c>
      <c r="BP11" s="0">
        <v>-629.883324</v>
      </c>
      <c r="BQ11" s="0">
        <v>209089830.33211908</v>
      </c>
      <c r="BR11" s="0">
        <v>209089830.33211908</v>
      </c>
      <c r="BS11" s="0">
        <v>244575468.95910794</v>
      </c>
      <c r="BT11" s="0">
        <v>259717270.8049337</v>
      </c>
      <c r="BU11" s="0">
        <v>146781232.47344881</v>
      </c>
      <c r="BV11" s="0">
        <v>146781232.47344881</v>
      </c>
      <c r="BW11" s="0">
        <v>401415748.03087991</v>
      </c>
      <c r="BX11" s="0">
        <v>965718175.15781379</v>
      </c>
      <c r="BY11" s="0">
        <v>215268531.26393002</v>
      </c>
      <c r="BZ11" s="0">
        <v>223567023.24245349</v>
      </c>
      <c r="CA11" s="0">
        <v>682966533.10614753</v>
      </c>
      <c r="CB11" s="0">
        <v>-407.606867</v>
      </c>
      <c r="CC11" s="0">
        <v>-45.977595</v>
      </c>
      <c r="CD11" s="0">
        <v>1182.91037</v>
      </c>
      <c r="CE11" s="0">
        <v>-2841.2876010000004</v>
      </c>
      <c r="CF11" s="0">
        <v>608.68812323749671</v>
      </c>
      <c r="CG11" s="0">
        <v>2263.3118767625033</v>
      </c>
      <c r="CH11" s="0">
        <v>-195.09671920694245</v>
      </c>
      <c r="CI11" s="0">
        <v>218.80534561088564</v>
      </c>
      <c r="CJ11" s="0">
        <v>-198.451033</v>
      </c>
      <c r="CK11" s="0">
        <v>-208.400249</v>
      </c>
      <c r="CL11" s="0">
        <v>223.28104762499999</v>
      </c>
      <c r="CM11" s="0">
        <v>-862.0338995</v>
      </c>
      <c r="CN11" s="305">
        <v>-152.97506905188621</v>
      </c>
      <c r="CO11" s="305">
        <v>166.65952618191045</v>
      </c>
      <c r="CP11" s="305">
        <v>725089176.4217242</v>
      </c>
      <c r="CQ11" s="0">
        <v>-130.66891179067608</v>
      </c>
      <c r="CR11" s="0">
        <v>99.471018458762842</v>
      </c>
      <c r="CS11" s="0">
        <v>2.0514772432715671</v>
      </c>
      <c r="CT11" s="0">
        <v>7.6280982531885027</v>
      </c>
      <c r="CU11" s="0">
        <v>1319.8720409480259</v>
      </c>
      <c r="CV11" s="0">
        <v>70.737161</v>
      </c>
      <c r="CW11" s="0">
        <v>-222.073961</v>
      </c>
    </row>
    <row r="12">
      <c r="D12" s="0">
        <v>105</v>
      </c>
      <c r="E12" s="0" t="s">
        <v>126</v>
      </c>
      <c r="F12" s="0">
        <v>11350</v>
      </c>
      <c r="G12" s="0">
        <v>0</v>
      </c>
      <c r="H12" s="0">
        <v>2</v>
      </c>
      <c r="I12" s="0">
        <v>500</v>
      </c>
      <c r="J12" s="0">
        <v>38</v>
      </c>
      <c r="K12" s="0">
        <v>1936.3312351792665</v>
      </c>
      <c r="L12" s="0">
        <v>34</v>
      </c>
      <c r="M12" s="0">
        <v>120</v>
      </c>
      <c r="N12" s="0">
        <v>2800</v>
      </c>
      <c r="O12" s="0">
        <v>12</v>
      </c>
      <c r="P12" s="0">
        <v>0.125</v>
      </c>
      <c r="Q12" s="0">
        <v>0</v>
      </c>
      <c r="R12" s="0">
        <v>290</v>
      </c>
      <c r="S12" s="0">
        <v>0</v>
      </c>
      <c r="T12" s="0">
        <v>0</v>
      </c>
      <c r="U12" s="0">
        <v>2400</v>
      </c>
      <c r="V12" s="0">
        <v>2400</v>
      </c>
      <c r="W12" s="0">
        <v>0</v>
      </c>
      <c r="X12" s="0">
        <v>0</v>
      </c>
      <c r="Y12" s="0">
        <v>6100</v>
      </c>
      <c r="Z12" s="0">
        <v>65080</v>
      </c>
      <c r="AA12" s="0">
        <v>5450</v>
      </c>
      <c r="AB12" s="0">
        <v>2</v>
      </c>
      <c r="AC12" s="0">
        <v>2500</v>
      </c>
      <c r="AD12" s="0">
        <v>2</v>
      </c>
      <c r="AE12" s="0">
        <v>10</v>
      </c>
      <c r="AF12" s="0">
        <v>160</v>
      </c>
      <c r="AG12" s="0">
        <v>0</v>
      </c>
      <c r="AH12" s="0">
        <v>0</v>
      </c>
      <c r="AI12" s="0">
        <v>0</v>
      </c>
      <c r="AJ12" s="0">
        <v>5428.6721054031623</v>
      </c>
      <c r="AK12" s="0">
        <v>5428.6721054031623</v>
      </c>
      <c r="AL12" s="0">
        <v>0</v>
      </c>
      <c r="AM12" s="305">
        <v>5000</v>
      </c>
      <c r="AN12" s="305">
        <v>700</v>
      </c>
      <c r="AO12" s="305">
        <v>380</v>
      </c>
      <c r="AP12" s="305">
        <v>380</v>
      </c>
      <c r="AQ12" s="305">
        <v>355</v>
      </c>
      <c r="AR12" s="305">
        <v>-200.66913874924717</v>
      </c>
      <c r="AS12" s="305">
        <v>140.86990007220544</v>
      </c>
      <c r="AT12" s="305">
        <v>1687.4257434129611</v>
      </c>
      <c r="AU12" s="305">
        <v>1184.5742565870389</v>
      </c>
      <c r="AV12" s="305">
        <v>1662.2619350092803</v>
      </c>
      <c r="AW12" s="305">
        <v>-24.653655</v>
      </c>
      <c r="AX12" s="305">
        <v>0.009971</v>
      </c>
      <c r="AY12" s="305">
        <v>1.185591</v>
      </c>
      <c r="AZ12" s="305" t="s">
        <v>27</v>
      </c>
      <c r="BA12" s="305">
        <v>1649.4257434129611</v>
      </c>
      <c r="BB12" s="305">
        <v>-373.595774</v>
      </c>
      <c r="BC12" s="305">
        <v>-0.853525</v>
      </c>
      <c r="BD12" s="305">
        <v>-597.467667</v>
      </c>
      <c r="BE12" s="305">
        <v>8481.394</v>
      </c>
      <c r="BF12" s="305">
        <v>13.952804</v>
      </c>
      <c r="BG12" s="305">
        <v>15068.224</v>
      </c>
      <c r="BH12" s="67">
        <v>380</v>
      </c>
      <c r="BI12" s="0">
        <v>380</v>
      </c>
      <c r="BJ12" s="0" t="s">
        <v>131</v>
      </c>
      <c r="BK12" s="0">
        <v>17.571293437192708</v>
      </c>
      <c r="BL12" s="0">
        <v>115005.95080917356</v>
      </c>
      <c r="BM12" s="0">
        <v>4067.902</v>
      </c>
      <c r="BN12" s="0">
        <v>3958.452</v>
      </c>
      <c r="BO12" s="0">
        <v>13319.7005</v>
      </c>
      <c r="BP12" s="0">
        <v>-899.56604387499988</v>
      </c>
      <c r="BQ12" s="0">
        <v>209089830.33211908</v>
      </c>
      <c r="BR12" s="0">
        <v>209089830.33211908</v>
      </c>
      <c r="BS12" s="0">
        <v>244575468.95910794</v>
      </c>
      <c r="BT12" s="0">
        <v>259717270.8049337</v>
      </c>
      <c r="BU12" s="0">
        <v>146781232.47344881</v>
      </c>
      <c r="BV12" s="0">
        <v>146781232.47344881</v>
      </c>
      <c r="BW12" s="0">
        <v>401415748.03087991</v>
      </c>
      <c r="BX12" s="0">
        <v>965718175.15781379</v>
      </c>
      <c r="BY12" s="0">
        <v>215268531.26393002</v>
      </c>
      <c r="BZ12" s="0">
        <v>223567023.24245349</v>
      </c>
      <c r="CA12" s="0">
        <v>682966533.10614753</v>
      </c>
      <c r="CB12" s="0">
        <v>-144.599367</v>
      </c>
      <c r="CC12" s="0">
        <v>-29.327845</v>
      </c>
      <c r="CD12" s="0">
        <v>1698.571285125</v>
      </c>
      <c r="CE12" s="0">
        <v>-2252.427732</v>
      </c>
      <c r="CF12" s="0">
        <v>608.68812323749671</v>
      </c>
      <c r="CG12" s="0">
        <v>2263.3118767625033</v>
      </c>
      <c r="CH12" s="0">
        <v>-252.9548999322746</v>
      </c>
      <c r="CI12" s="0">
        <v>278.25171054981865</v>
      </c>
      <c r="CJ12" s="0">
        <v>-105.351033</v>
      </c>
      <c r="CK12" s="0">
        <v>-157.170249</v>
      </c>
      <c r="CL12" s="0">
        <v>376.542044125</v>
      </c>
      <c r="CM12" s="0">
        <v>-675.1024851875</v>
      </c>
      <c r="CN12" s="305">
        <v>-198.4607197309615</v>
      </c>
      <c r="CO12" s="305">
        <v>212.18441599823308</v>
      </c>
      <c r="CP12" s="305">
        <v>725089176.4217242</v>
      </c>
      <c r="CQ12" s="0">
        <v>-170.66919842149025</v>
      </c>
      <c r="CR12" s="0">
        <v>129.32842215338596</v>
      </c>
      <c r="CS12" s="0">
        <v>2.4715867658387491</v>
      </c>
      <c r="CT12" s="0">
        <v>9.1902100074149491</v>
      </c>
      <c r="CU12" s="0">
        <v>1319.8720409480259</v>
      </c>
      <c r="CV12" s="0">
        <v>118.239104</v>
      </c>
      <c r="CW12" s="0">
        <v>-177.929312</v>
      </c>
    </row>
    <row r="13">
      <c r="D13" s="0">
        <v>106</v>
      </c>
      <c r="E13" s="0" t="s">
        <v>130</v>
      </c>
      <c r="F13" s="0">
        <v>16350</v>
      </c>
      <c r="G13" s="0">
        <v>0</v>
      </c>
      <c r="H13" s="0">
        <v>2</v>
      </c>
      <c r="I13" s="0">
        <v>500</v>
      </c>
      <c r="J13" s="0">
        <v>38</v>
      </c>
      <c r="K13" s="0">
        <v>1936.3312351792665</v>
      </c>
      <c r="L13" s="0">
        <v>34</v>
      </c>
      <c r="M13" s="0">
        <v>120</v>
      </c>
      <c r="N13" s="0">
        <v>2800</v>
      </c>
      <c r="O13" s="0">
        <v>12</v>
      </c>
      <c r="P13" s="0">
        <v>0.125</v>
      </c>
      <c r="Q13" s="0">
        <v>0</v>
      </c>
      <c r="R13" s="0">
        <v>290</v>
      </c>
      <c r="S13" s="0">
        <v>0</v>
      </c>
      <c r="T13" s="0">
        <v>0</v>
      </c>
      <c r="U13" s="0">
        <v>2400</v>
      </c>
      <c r="V13" s="0">
        <v>2400</v>
      </c>
      <c r="W13" s="0">
        <v>0</v>
      </c>
      <c r="X13" s="0">
        <v>0</v>
      </c>
      <c r="Y13" s="0">
        <v>6100</v>
      </c>
      <c r="Z13" s="0">
        <v>65080</v>
      </c>
      <c r="AA13" s="0">
        <v>5450</v>
      </c>
      <c r="AB13" s="0">
        <v>2</v>
      </c>
      <c r="AC13" s="0">
        <v>2500</v>
      </c>
      <c r="AD13" s="0">
        <v>2</v>
      </c>
      <c r="AE13" s="0">
        <v>10</v>
      </c>
      <c r="AF13" s="0">
        <v>160</v>
      </c>
      <c r="AG13" s="0">
        <v>0</v>
      </c>
      <c r="AH13" s="0">
        <v>0</v>
      </c>
      <c r="AI13" s="0">
        <v>0</v>
      </c>
      <c r="AJ13" s="0">
        <v>5428.6721054031623</v>
      </c>
      <c r="AK13" s="0">
        <v>5428.6721054031623</v>
      </c>
      <c r="AL13" s="0">
        <v>0</v>
      </c>
      <c r="AM13" s="305">
        <v>5000</v>
      </c>
      <c r="AN13" s="305">
        <v>700</v>
      </c>
      <c r="AO13" s="305">
        <v>380</v>
      </c>
      <c r="AP13" s="305">
        <v>380</v>
      </c>
      <c r="AQ13" s="305">
        <v>355</v>
      </c>
      <c r="AR13" s="305">
        <v>-200.66913874073109</v>
      </c>
      <c r="AS13" s="305">
        <v>140.86990006622713</v>
      </c>
      <c r="AT13" s="305">
        <v>1687.4257434129611</v>
      </c>
      <c r="AU13" s="305">
        <v>1184.5742565870389</v>
      </c>
      <c r="AV13" s="305">
        <v>1662.2619350092803</v>
      </c>
      <c r="AW13" s="305">
        <v>-13.171048</v>
      </c>
      <c r="AX13" s="305">
        <v>0.01117</v>
      </c>
      <c r="AY13" s="305">
        <v>-88.254511</v>
      </c>
      <c r="AZ13" s="305" t="s">
        <v>27</v>
      </c>
      <c r="BA13" s="305">
        <v>1649.4257434129611</v>
      </c>
      <c r="BB13" s="305">
        <v>-357.421163</v>
      </c>
      <c r="BC13" s="305">
        <v>-0.85391</v>
      </c>
      <c r="BD13" s="305">
        <v>-599.384283</v>
      </c>
      <c r="BE13" s="305">
        <v>8481.394</v>
      </c>
      <c r="BF13" s="305">
        <v>13.952803</v>
      </c>
      <c r="BG13" s="305">
        <v>15068.224</v>
      </c>
      <c r="BH13" s="67">
        <v>380</v>
      </c>
      <c r="BI13" s="0">
        <v>380</v>
      </c>
      <c r="BJ13" s="0" t="s">
        <v>131</v>
      </c>
      <c r="BK13" s="0">
        <v>17.571293437192708</v>
      </c>
      <c r="BL13" s="0">
        <v>115005.95080917356</v>
      </c>
      <c r="BM13" s="0">
        <v>4067.901</v>
      </c>
      <c r="BN13" s="0">
        <v>3958.452</v>
      </c>
      <c r="BO13" s="0">
        <v>13319.6975625</v>
      </c>
      <c r="BP13" s="0">
        <v>-899.565805875</v>
      </c>
      <c r="BQ13" s="0">
        <v>209089830.33211908</v>
      </c>
      <c r="BR13" s="0">
        <v>209089830.33211908</v>
      </c>
      <c r="BS13" s="0">
        <v>244575468.95910794</v>
      </c>
      <c r="BT13" s="0">
        <v>259717270.8049337</v>
      </c>
      <c r="BU13" s="0">
        <v>146781232.47344881</v>
      </c>
      <c r="BV13" s="0">
        <v>146781232.47344881</v>
      </c>
      <c r="BW13" s="0">
        <v>401415748.03087991</v>
      </c>
      <c r="BX13" s="0">
        <v>965718175.15781379</v>
      </c>
      <c r="BY13" s="0">
        <v>215268531.26393002</v>
      </c>
      <c r="BZ13" s="0">
        <v>223567023.24245349</v>
      </c>
      <c r="CA13" s="0">
        <v>682966533.10614753</v>
      </c>
      <c r="CB13" s="0">
        <v>-466.35383</v>
      </c>
      <c r="CC13" s="0">
        <v>-42.017414</v>
      </c>
      <c r="CD13" s="0">
        <v>1082.7788360625</v>
      </c>
      <c r="CE13" s="0">
        <v>-2991.857976</v>
      </c>
      <c r="CF13" s="0">
        <v>608.68812323749671</v>
      </c>
      <c r="CG13" s="0">
        <v>2263.3118767625033</v>
      </c>
      <c r="CH13" s="0">
        <v>-252.9548913345802</v>
      </c>
      <c r="CI13" s="0">
        <v>278.25168507426656</v>
      </c>
      <c r="CJ13" s="0">
        <v>-175.91226</v>
      </c>
      <c r="CK13" s="0">
        <v>-156.541009</v>
      </c>
      <c r="CL13" s="0">
        <v>244.35694706249998</v>
      </c>
      <c r="CM13" s="0">
        <v>-849.65663225</v>
      </c>
      <c r="CN13" s="305">
        <v>-198.46071327865485</v>
      </c>
      <c r="CO13" s="305">
        <v>212.18439720124405</v>
      </c>
      <c r="CP13" s="305">
        <v>725089176.4217242</v>
      </c>
      <c r="CQ13" s="0">
        <v>-170.66919592349461</v>
      </c>
      <c r="CR13" s="0">
        <v>129.32841805988582</v>
      </c>
      <c r="CS13" s="0">
        <v>2.4715859729055532</v>
      </c>
      <c r="CT13" s="0">
        <v>9.1902070590164939</v>
      </c>
      <c r="CU13" s="0">
        <v>1319.8720409480259</v>
      </c>
      <c r="CV13" s="0">
        <v>72.851237</v>
      </c>
      <c r="CW13" s="0">
        <v>-222.350297</v>
      </c>
    </row>
    <row r="14">
      <c r="D14" s="0">
        <v>106</v>
      </c>
      <c r="E14" s="0" t="s">
        <v>130</v>
      </c>
      <c r="F14" s="0">
        <v>16350</v>
      </c>
      <c r="G14" s="0">
        <v>0</v>
      </c>
      <c r="H14" s="0">
        <v>2</v>
      </c>
      <c r="I14" s="0">
        <v>500</v>
      </c>
      <c r="J14" s="0">
        <v>38</v>
      </c>
      <c r="K14" s="0">
        <v>1936.3312351792665</v>
      </c>
      <c r="L14" s="0">
        <v>34</v>
      </c>
      <c r="M14" s="0">
        <v>120</v>
      </c>
      <c r="N14" s="0">
        <v>2800</v>
      </c>
      <c r="O14" s="0">
        <v>12</v>
      </c>
      <c r="P14" s="0">
        <v>0.125</v>
      </c>
      <c r="Q14" s="0">
        <v>0</v>
      </c>
      <c r="R14" s="0">
        <v>290</v>
      </c>
      <c r="S14" s="0">
        <v>0</v>
      </c>
      <c r="T14" s="0">
        <v>0</v>
      </c>
      <c r="U14" s="0">
        <v>2400</v>
      </c>
      <c r="V14" s="0">
        <v>2400</v>
      </c>
      <c r="W14" s="0">
        <v>0</v>
      </c>
      <c r="X14" s="0">
        <v>0</v>
      </c>
      <c r="Y14" s="0">
        <v>6100</v>
      </c>
      <c r="Z14" s="0">
        <v>65080</v>
      </c>
      <c r="AA14" s="0">
        <v>5450</v>
      </c>
      <c r="AB14" s="0">
        <v>2</v>
      </c>
      <c r="AC14" s="0">
        <v>2500</v>
      </c>
      <c r="AD14" s="0">
        <v>2</v>
      </c>
      <c r="AE14" s="0">
        <v>10</v>
      </c>
      <c r="AF14" s="0">
        <v>160</v>
      </c>
      <c r="AG14" s="0">
        <v>0</v>
      </c>
      <c r="AH14" s="0">
        <v>0</v>
      </c>
      <c r="AI14" s="0">
        <v>0</v>
      </c>
      <c r="AJ14" s="0">
        <v>5428.6721054031623</v>
      </c>
      <c r="AK14" s="0">
        <v>5428.6721054031623</v>
      </c>
      <c r="AL14" s="0">
        <v>0</v>
      </c>
      <c r="AM14" s="305">
        <v>5000</v>
      </c>
      <c r="AN14" s="305">
        <v>700</v>
      </c>
      <c r="AO14" s="305">
        <v>380</v>
      </c>
      <c r="AP14" s="305">
        <v>380</v>
      </c>
      <c r="AQ14" s="305">
        <v>355</v>
      </c>
      <c r="AR14" s="305">
        <v>-235.19593484980945</v>
      </c>
      <c r="AS14" s="305">
        <v>165.10773926768496</v>
      </c>
      <c r="AT14" s="305">
        <v>1687.4257434129611</v>
      </c>
      <c r="AU14" s="305">
        <v>1184.5742565870389</v>
      </c>
      <c r="AV14" s="305">
        <v>1662.2619350092803</v>
      </c>
      <c r="AW14" s="305">
        <v>-13.171048</v>
      </c>
      <c r="AX14" s="305">
        <v>0.01117</v>
      </c>
      <c r="AY14" s="305">
        <v>-24.046699</v>
      </c>
      <c r="AZ14" s="305" t="s">
        <v>27</v>
      </c>
      <c r="BA14" s="305">
        <v>1649.4257434129611</v>
      </c>
      <c r="BB14" s="305">
        <v>-261.388508</v>
      </c>
      <c r="BC14" s="305">
        <v>-0.85391</v>
      </c>
      <c r="BD14" s="305">
        <v>-401.821783</v>
      </c>
      <c r="BE14" s="305">
        <v>10028.418</v>
      </c>
      <c r="BF14" s="305">
        <v>18.222352</v>
      </c>
      <c r="BG14" s="305">
        <v>17571.239</v>
      </c>
      <c r="BH14" s="67">
        <v>380</v>
      </c>
      <c r="BI14" s="0">
        <v>380</v>
      </c>
      <c r="BJ14" s="0" t="s">
        <v>131</v>
      </c>
      <c r="BK14" s="0">
        <v>17.571293437192708</v>
      </c>
      <c r="BL14" s="0">
        <v>115005.95080917356</v>
      </c>
      <c r="BM14" s="0">
        <v>4714.712</v>
      </c>
      <c r="BN14" s="0">
        <v>4613.082</v>
      </c>
      <c r="BO14" s="0">
        <v>15385.6100625</v>
      </c>
      <c r="BP14" s="0">
        <v>-1160.4906548749998</v>
      </c>
      <c r="BQ14" s="0">
        <v>209089830.33211908</v>
      </c>
      <c r="BR14" s="0">
        <v>209089830.33211908</v>
      </c>
      <c r="BS14" s="0">
        <v>244575468.95910794</v>
      </c>
      <c r="BT14" s="0">
        <v>259717270.8049337</v>
      </c>
      <c r="BU14" s="0">
        <v>146781232.47344881</v>
      </c>
      <c r="BV14" s="0">
        <v>146781232.47344881</v>
      </c>
      <c r="BW14" s="0">
        <v>401415748.03087991</v>
      </c>
      <c r="BX14" s="0">
        <v>965718175.15781379</v>
      </c>
      <c r="BY14" s="0">
        <v>215268531.26393002</v>
      </c>
      <c r="BZ14" s="0">
        <v>223567023.24245349</v>
      </c>
      <c r="CA14" s="0">
        <v>682966533.10614753</v>
      </c>
      <c r="CB14" s="0">
        <v>-203.34633</v>
      </c>
      <c r="CC14" s="0">
        <v>-25.367664</v>
      </c>
      <c r="CD14" s="0">
        <v>1516.0881945625</v>
      </c>
      <c r="CE14" s="0">
        <v>-2333.8951319999996</v>
      </c>
      <c r="CF14" s="0">
        <v>608.68812323749671</v>
      </c>
      <c r="CG14" s="0">
        <v>2263.3118767625033</v>
      </c>
      <c r="CH14" s="0">
        <v>-295.79269725594696</v>
      </c>
      <c r="CI14" s="0">
        <v>324.12824517743519</v>
      </c>
      <c r="CJ14" s="0">
        <v>-82.81226</v>
      </c>
      <c r="CK14" s="0">
        <v>-105.311009</v>
      </c>
      <c r="CL14" s="0">
        <v>380.5896968125</v>
      </c>
      <c r="CM14" s="0">
        <v>-653.9206794375</v>
      </c>
      <c r="CN14" s="305">
        <v>-232.10530243420217</v>
      </c>
      <c r="CO14" s="305">
        <v>247.236700454786</v>
      </c>
      <c r="CP14" s="305">
        <v>725089176.4217242</v>
      </c>
      <c r="CQ14" s="0">
        <v>-199.90195723729735</v>
      </c>
      <c r="CR14" s="0">
        <v>151.36331687593452</v>
      </c>
      <c r="CS14" s="0">
        <v>2.8152199543678664</v>
      </c>
      <c r="CT14" s="0">
        <v>10.467956438068169</v>
      </c>
      <c r="CU14" s="0">
        <v>1319.8720409480259</v>
      </c>
      <c r="CV14" s="0">
        <v>109.832007</v>
      </c>
      <c r="CW14" s="0">
        <v>-177.535743</v>
      </c>
    </row>
    <row r="15">
      <c r="D15" s="0">
        <v>107</v>
      </c>
      <c r="E15" s="0" t="s">
        <v>126</v>
      </c>
      <c r="F15" s="0">
        <v>21350</v>
      </c>
      <c r="G15" s="0">
        <v>0</v>
      </c>
      <c r="H15" s="0">
        <v>2</v>
      </c>
      <c r="I15" s="0">
        <v>600</v>
      </c>
      <c r="J15" s="0">
        <v>40</v>
      </c>
      <c r="K15" s="0">
        <v>1936.3312351792665</v>
      </c>
      <c r="L15" s="0">
        <v>40</v>
      </c>
      <c r="M15" s="0">
        <v>120</v>
      </c>
      <c r="N15" s="0">
        <v>2800</v>
      </c>
      <c r="O15" s="0">
        <v>12</v>
      </c>
      <c r="P15" s="0">
        <v>0.125</v>
      </c>
      <c r="Q15" s="0">
        <v>0</v>
      </c>
      <c r="R15" s="0">
        <v>290</v>
      </c>
      <c r="S15" s="0">
        <v>0</v>
      </c>
      <c r="T15" s="0">
        <v>0</v>
      </c>
      <c r="U15" s="0">
        <v>2400</v>
      </c>
      <c r="V15" s="0">
        <v>2400</v>
      </c>
      <c r="W15" s="0">
        <v>0</v>
      </c>
      <c r="X15" s="0">
        <v>0</v>
      </c>
      <c r="Y15" s="0">
        <v>6100</v>
      </c>
      <c r="Z15" s="0">
        <v>65080</v>
      </c>
      <c r="AA15" s="0">
        <v>5450</v>
      </c>
      <c r="AB15" s="0">
        <v>2</v>
      </c>
      <c r="AC15" s="0">
        <v>2500</v>
      </c>
      <c r="AD15" s="0">
        <v>2</v>
      </c>
      <c r="AE15" s="0">
        <v>10</v>
      </c>
      <c r="AF15" s="0">
        <v>160</v>
      </c>
      <c r="AG15" s="0">
        <v>0</v>
      </c>
      <c r="AH15" s="0">
        <v>0</v>
      </c>
      <c r="AI15" s="0">
        <v>0</v>
      </c>
      <c r="AJ15" s="0">
        <v>5428.6721054031623</v>
      </c>
      <c r="AK15" s="0">
        <v>5428.6721054031623</v>
      </c>
      <c r="AL15" s="0">
        <v>0</v>
      </c>
      <c r="AM15" s="305">
        <v>5000</v>
      </c>
      <c r="AN15" s="305">
        <v>700</v>
      </c>
      <c r="AO15" s="305">
        <v>380</v>
      </c>
      <c r="AP15" s="305">
        <v>380</v>
      </c>
      <c r="AQ15" s="305">
        <v>355</v>
      </c>
      <c r="AR15" s="305">
        <v>-197.95401449772476</v>
      </c>
      <c r="AS15" s="305">
        <v>142.51436966780295</v>
      </c>
      <c r="AT15" s="305">
        <v>1674.4801816202541</v>
      </c>
      <c r="AU15" s="305">
        <v>1205.5198183797459</v>
      </c>
      <c r="AV15" s="305">
        <v>1647.2000635885395</v>
      </c>
      <c r="AW15" s="305">
        <v>-13.171048</v>
      </c>
      <c r="AX15" s="305">
        <v>0.01117</v>
      </c>
      <c r="AY15" s="305">
        <v>-24.046699</v>
      </c>
      <c r="AZ15" s="305" t="s">
        <v>27</v>
      </c>
      <c r="BA15" s="305">
        <v>1634.4801816202541</v>
      </c>
      <c r="BB15" s="305">
        <v>-261.388508</v>
      </c>
      <c r="BC15" s="305">
        <v>-0.85391</v>
      </c>
      <c r="BD15" s="305">
        <v>-401.821783</v>
      </c>
      <c r="BE15" s="305">
        <v>10028.418</v>
      </c>
      <c r="BF15" s="305">
        <v>18.222352</v>
      </c>
      <c r="BG15" s="305">
        <v>17571.239</v>
      </c>
      <c r="BH15" s="67">
        <v>380</v>
      </c>
      <c r="BI15" s="0">
        <v>380</v>
      </c>
      <c r="BJ15" s="0" t="s">
        <v>131</v>
      </c>
      <c r="BK15" s="0">
        <v>23.650239285608752</v>
      </c>
      <c r="BL15" s="0">
        <v>127657.96900526235</v>
      </c>
      <c r="BM15" s="0">
        <v>4714.712</v>
      </c>
      <c r="BN15" s="0">
        <v>4613.082</v>
      </c>
      <c r="BO15" s="0">
        <v>15385.6100625</v>
      </c>
      <c r="BP15" s="0">
        <v>-1160.4906548749998</v>
      </c>
      <c r="BQ15" s="0">
        <v>242237672.38679606</v>
      </c>
      <c r="BR15" s="0">
        <v>242237672.38679606</v>
      </c>
      <c r="BS15" s="0">
        <v>276171816.849445</v>
      </c>
      <c r="BT15" s="0">
        <v>292194124.02817529</v>
      </c>
      <c r="BU15" s="0">
        <v>174395802.36649755</v>
      </c>
      <c r="BV15" s="0">
        <v>174395802.36649755</v>
      </c>
      <c r="BW15" s="0">
        <v>431033723.3003518</v>
      </c>
      <c r="BX15" s="0">
        <v>992522721.47909129</v>
      </c>
      <c r="BY15" s="0">
        <v>250551136.25302339</v>
      </c>
      <c r="BZ15" s="0">
        <v>257954497.22163042</v>
      </c>
      <c r="CA15" s="0">
        <v>718352140.77916825</v>
      </c>
      <c r="CB15" s="0">
        <v>-203.34633</v>
      </c>
      <c r="CC15" s="0">
        <v>-25.367664</v>
      </c>
      <c r="CD15" s="0">
        <v>1516.0881945625</v>
      </c>
      <c r="CE15" s="0">
        <v>-2333.8951319999996</v>
      </c>
      <c r="CF15" s="0">
        <v>655.02299603526535</v>
      </c>
      <c r="CG15" s="0">
        <v>2224.9770039647346</v>
      </c>
      <c r="CH15" s="0">
        <v>-255.5829916645049</v>
      </c>
      <c r="CI15" s="0">
        <v>283.68923908694342</v>
      </c>
      <c r="CJ15" s="0">
        <v>-82.81226</v>
      </c>
      <c r="CK15" s="0">
        <v>-105.311009</v>
      </c>
      <c r="CL15" s="0">
        <v>380.5896968125</v>
      </c>
      <c r="CM15" s="0">
        <v>-653.9206794375</v>
      </c>
      <c r="CN15" s="305">
        <v>-200.1557068187017</v>
      </c>
      <c r="CO15" s="305">
        <v>216.23889636514269</v>
      </c>
      <c r="CP15" s="305">
        <v>760359908.062046</v>
      </c>
      <c r="CQ15" s="0">
        <v>-169.30136271058061</v>
      </c>
      <c r="CR15" s="0">
        <v>131.08315805585511</v>
      </c>
      <c r="CS15" s="0">
        <v>2.7391907693039883</v>
      </c>
      <c r="CT15" s="0">
        <v>9.304461840368301</v>
      </c>
      <c r="CU15" s="0">
        <v>1319.8720409480259</v>
      </c>
      <c r="CV15" s="0">
        <v>109.832007</v>
      </c>
      <c r="CW15" s="0">
        <v>-177.535743</v>
      </c>
    </row>
    <row r="16">
      <c r="D16" s="0">
        <v>107</v>
      </c>
      <c r="E16" s="0" t="s">
        <v>126</v>
      </c>
      <c r="F16" s="0">
        <v>21350</v>
      </c>
      <c r="G16" s="0">
        <v>0</v>
      </c>
      <c r="H16" s="0">
        <v>2</v>
      </c>
      <c r="I16" s="0">
        <v>600</v>
      </c>
      <c r="J16" s="0">
        <v>40</v>
      </c>
      <c r="K16" s="0">
        <v>1936.3312351792665</v>
      </c>
      <c r="L16" s="0">
        <v>40</v>
      </c>
      <c r="M16" s="0">
        <v>120</v>
      </c>
      <c r="N16" s="0">
        <v>2800</v>
      </c>
      <c r="O16" s="0">
        <v>12</v>
      </c>
      <c r="P16" s="0">
        <v>0.125</v>
      </c>
      <c r="Q16" s="0">
        <v>0</v>
      </c>
      <c r="R16" s="0">
        <v>290</v>
      </c>
      <c r="S16" s="0">
        <v>0</v>
      </c>
      <c r="T16" s="0">
        <v>0</v>
      </c>
      <c r="U16" s="0">
        <v>2400</v>
      </c>
      <c r="V16" s="0">
        <v>2400</v>
      </c>
      <c r="W16" s="0">
        <v>0</v>
      </c>
      <c r="X16" s="0">
        <v>0</v>
      </c>
      <c r="Y16" s="0">
        <v>6100</v>
      </c>
      <c r="Z16" s="0">
        <v>65080</v>
      </c>
      <c r="AA16" s="0">
        <v>5450</v>
      </c>
      <c r="AB16" s="0">
        <v>2</v>
      </c>
      <c r="AC16" s="0">
        <v>2500</v>
      </c>
      <c r="AD16" s="0">
        <v>2</v>
      </c>
      <c r="AE16" s="0">
        <v>10</v>
      </c>
      <c r="AF16" s="0">
        <v>160</v>
      </c>
      <c r="AG16" s="0">
        <v>0</v>
      </c>
      <c r="AH16" s="0">
        <v>0</v>
      </c>
      <c r="AI16" s="0">
        <v>0</v>
      </c>
      <c r="AJ16" s="0">
        <v>5428.6721054031623</v>
      </c>
      <c r="AK16" s="0">
        <v>5428.6721054031623</v>
      </c>
      <c r="AL16" s="0">
        <v>0</v>
      </c>
      <c r="AM16" s="305">
        <v>5000</v>
      </c>
      <c r="AN16" s="305">
        <v>700</v>
      </c>
      <c r="AO16" s="305">
        <v>380</v>
      </c>
      <c r="AP16" s="305">
        <v>380</v>
      </c>
      <c r="AQ16" s="305">
        <v>355</v>
      </c>
      <c r="AR16" s="305">
        <v>-216.27897211071792</v>
      </c>
      <c r="AS16" s="305">
        <v>155.70718007900553</v>
      </c>
      <c r="AT16" s="305">
        <v>1674.4801816202541</v>
      </c>
      <c r="AU16" s="305">
        <v>1205.5198183797459</v>
      </c>
      <c r="AV16" s="305">
        <v>1647.2000635885395</v>
      </c>
      <c r="AW16" s="305">
        <v>-13.171048</v>
      </c>
      <c r="AX16" s="305">
        <v>0.01117</v>
      </c>
      <c r="AY16" s="305">
        <v>40.161114</v>
      </c>
      <c r="AZ16" s="305" t="s">
        <v>27</v>
      </c>
      <c r="BA16" s="305">
        <v>1634.4801816202541</v>
      </c>
      <c r="BB16" s="305">
        <v>-153.47677</v>
      </c>
      <c r="BC16" s="305">
        <v>-0.85391</v>
      </c>
      <c r="BD16" s="305">
        <v>-204.259283</v>
      </c>
      <c r="BE16" s="305">
        <v>11065.582</v>
      </c>
      <c r="BF16" s="305">
        <v>22.491901</v>
      </c>
      <c r="BG16" s="305">
        <v>19086.442</v>
      </c>
      <c r="BH16" s="67">
        <v>380</v>
      </c>
      <c r="BI16" s="0">
        <v>380</v>
      </c>
      <c r="BJ16" s="0" t="s">
        <v>131</v>
      </c>
      <c r="BK16" s="0">
        <v>23.650239285608752</v>
      </c>
      <c r="BL16" s="0">
        <v>127657.96900526235</v>
      </c>
      <c r="BM16" s="0">
        <v>4896.024</v>
      </c>
      <c r="BN16" s="0">
        <v>5011.562</v>
      </c>
      <c r="BO16" s="0">
        <v>16090.67975</v>
      </c>
      <c r="BP16" s="0">
        <v>-1421.4157339375001</v>
      </c>
      <c r="BQ16" s="0">
        <v>242237672.38679606</v>
      </c>
      <c r="BR16" s="0">
        <v>242237672.38679606</v>
      </c>
      <c r="BS16" s="0">
        <v>276171816.849445</v>
      </c>
      <c r="BT16" s="0">
        <v>292194124.02817529</v>
      </c>
      <c r="BU16" s="0">
        <v>174395802.36649755</v>
      </c>
      <c r="BV16" s="0">
        <v>174395802.36649755</v>
      </c>
      <c r="BW16" s="0">
        <v>431033723.3003518</v>
      </c>
      <c r="BX16" s="0">
        <v>992522721.47909129</v>
      </c>
      <c r="BY16" s="0">
        <v>250551136.25302339</v>
      </c>
      <c r="BZ16" s="0">
        <v>257954497.22163042</v>
      </c>
      <c r="CA16" s="0">
        <v>718352140.77916825</v>
      </c>
      <c r="CB16" s="0">
        <v>59.66117</v>
      </c>
      <c r="CC16" s="0">
        <v>-8.717914</v>
      </c>
      <c r="CD16" s="0">
        <v>2110.3548805</v>
      </c>
      <c r="CE16" s="0">
        <v>-1801.5040343125</v>
      </c>
      <c r="CF16" s="0">
        <v>655.02299603526535</v>
      </c>
      <c r="CG16" s="0">
        <v>2224.9770039647346</v>
      </c>
      <c r="CH16" s="0">
        <v>-277.09915438009415</v>
      </c>
      <c r="CI16" s="0">
        <v>304.21043532622133</v>
      </c>
      <c r="CJ16" s="0">
        <v>10.28774</v>
      </c>
      <c r="CK16" s="0">
        <v>-54.081009</v>
      </c>
      <c r="CL16" s="0">
        <v>562.24734975</v>
      </c>
      <c r="CM16" s="0">
        <v>-491.37721099999993</v>
      </c>
      <c r="CN16" s="305">
        <v>-217.08428854839929</v>
      </c>
      <c r="CO16" s="305">
        <v>232.02945685461731</v>
      </c>
      <c r="CP16" s="305">
        <v>760359908.062046</v>
      </c>
      <c r="CQ16" s="0">
        <v>-184.38197338212697</v>
      </c>
      <c r="CR16" s="0">
        <v>142.29392522178031</v>
      </c>
      <c r="CS16" s="0">
        <v>2.8880398374944258</v>
      </c>
      <c r="CT16" s="0">
        <v>9.810071194222914</v>
      </c>
      <c r="CU16" s="0">
        <v>1319.8720409480259</v>
      </c>
      <c r="CV16" s="0">
        <v>159.587141</v>
      </c>
      <c r="CW16" s="0">
        <v>-137.911852</v>
      </c>
    </row>
    <row r="17">
      <c r="D17" s="0">
        <v>108</v>
      </c>
      <c r="E17" s="0" t="s">
        <v>130</v>
      </c>
      <c r="F17" s="0">
        <v>26350</v>
      </c>
      <c r="G17" s="0">
        <v>0</v>
      </c>
      <c r="H17" s="0">
        <v>2</v>
      </c>
      <c r="I17" s="0">
        <v>600</v>
      </c>
      <c r="J17" s="0">
        <v>40</v>
      </c>
      <c r="K17" s="0">
        <v>1936.3312351792665</v>
      </c>
      <c r="L17" s="0">
        <v>40</v>
      </c>
      <c r="M17" s="0">
        <v>120</v>
      </c>
      <c r="N17" s="0">
        <v>2800</v>
      </c>
      <c r="O17" s="0">
        <v>12</v>
      </c>
      <c r="P17" s="0">
        <v>0.125</v>
      </c>
      <c r="Q17" s="0">
        <v>0</v>
      </c>
      <c r="R17" s="0">
        <v>290</v>
      </c>
      <c r="S17" s="0">
        <v>0</v>
      </c>
      <c r="T17" s="0">
        <v>0</v>
      </c>
      <c r="U17" s="0">
        <v>2400</v>
      </c>
      <c r="V17" s="0">
        <v>2400</v>
      </c>
      <c r="W17" s="0">
        <v>0</v>
      </c>
      <c r="X17" s="0">
        <v>0</v>
      </c>
      <c r="Y17" s="0">
        <v>6100</v>
      </c>
      <c r="Z17" s="0">
        <v>65080</v>
      </c>
      <c r="AA17" s="0">
        <v>5450</v>
      </c>
      <c r="AB17" s="0">
        <v>2</v>
      </c>
      <c r="AC17" s="0">
        <v>2500</v>
      </c>
      <c r="AD17" s="0">
        <v>2</v>
      </c>
      <c r="AE17" s="0">
        <v>10</v>
      </c>
      <c r="AF17" s="0">
        <v>160</v>
      </c>
      <c r="AG17" s="0">
        <v>0</v>
      </c>
      <c r="AH17" s="0">
        <v>0</v>
      </c>
      <c r="AI17" s="0">
        <v>0</v>
      </c>
      <c r="AJ17" s="0">
        <v>5428.6721054031623</v>
      </c>
      <c r="AK17" s="0">
        <v>5428.6721054031623</v>
      </c>
      <c r="AL17" s="0">
        <v>0</v>
      </c>
      <c r="AM17" s="305">
        <v>5000</v>
      </c>
      <c r="AN17" s="305">
        <v>700</v>
      </c>
      <c r="AO17" s="305">
        <v>380</v>
      </c>
      <c r="AP17" s="305">
        <v>380</v>
      </c>
      <c r="AQ17" s="305">
        <v>355</v>
      </c>
      <c r="AR17" s="305">
        <v>-216.2789721035503</v>
      </c>
      <c r="AS17" s="305">
        <v>155.70718007384531</v>
      </c>
      <c r="AT17" s="305">
        <v>1674.4801816202541</v>
      </c>
      <c r="AU17" s="305">
        <v>1205.5198183797459</v>
      </c>
      <c r="AV17" s="305">
        <v>1647.2000635885395</v>
      </c>
      <c r="AW17" s="305">
        <v>-3.875922</v>
      </c>
      <c r="AX17" s="305">
        <v>0.017658</v>
      </c>
      <c r="AY17" s="305">
        <v>-62.202629</v>
      </c>
      <c r="AZ17" s="305" t="s">
        <v>27</v>
      </c>
      <c r="BA17" s="305">
        <v>1634.4801816202541</v>
      </c>
      <c r="BB17" s="305">
        <v>-136.717683</v>
      </c>
      <c r="BC17" s="305">
        <v>-0.852993</v>
      </c>
      <c r="BD17" s="305">
        <v>-205.984069</v>
      </c>
      <c r="BE17" s="305">
        <v>11065.582</v>
      </c>
      <c r="BF17" s="305">
        <v>22.4919</v>
      </c>
      <c r="BG17" s="305">
        <v>19086.442</v>
      </c>
      <c r="BH17" s="67">
        <v>380</v>
      </c>
      <c r="BI17" s="0">
        <v>380</v>
      </c>
      <c r="BJ17" s="0" t="s">
        <v>131</v>
      </c>
      <c r="BK17" s="0">
        <v>23.650239285608752</v>
      </c>
      <c r="BL17" s="0">
        <v>127657.96900526235</v>
      </c>
      <c r="BM17" s="0">
        <v>4896.024</v>
      </c>
      <c r="BN17" s="0">
        <v>5011.562</v>
      </c>
      <c r="BO17" s="0">
        <v>16090.67975</v>
      </c>
      <c r="BP17" s="0">
        <v>-1421.4154374999998</v>
      </c>
      <c r="BQ17" s="0">
        <v>242237672.38679606</v>
      </c>
      <c r="BR17" s="0">
        <v>242237672.38679606</v>
      </c>
      <c r="BS17" s="0">
        <v>276171816.849445</v>
      </c>
      <c r="BT17" s="0">
        <v>292194124.02817529</v>
      </c>
      <c r="BU17" s="0">
        <v>174395802.36649755</v>
      </c>
      <c r="BV17" s="0">
        <v>174395802.36649755</v>
      </c>
      <c r="BW17" s="0">
        <v>431033723.3003518</v>
      </c>
      <c r="BX17" s="0">
        <v>992522721.47909129</v>
      </c>
      <c r="BY17" s="0">
        <v>250551136.25302339</v>
      </c>
      <c r="BZ17" s="0">
        <v>257954497.22163042</v>
      </c>
      <c r="CA17" s="0">
        <v>718352140.77916825</v>
      </c>
      <c r="CB17" s="0">
        <v>-331.287987</v>
      </c>
      <c r="CC17" s="0">
        <v>-26.542659</v>
      </c>
      <c r="CD17" s="0">
        <v>1313.9713590000001</v>
      </c>
      <c r="CE17" s="0">
        <v>-2618.415212</v>
      </c>
      <c r="CF17" s="0">
        <v>655.02299603526535</v>
      </c>
      <c r="CG17" s="0">
        <v>2224.9770039647346</v>
      </c>
      <c r="CH17" s="0">
        <v>-277.09915437292653</v>
      </c>
      <c r="CI17" s="0">
        <v>304.21043532106108</v>
      </c>
      <c r="CJ17" s="0">
        <v>-76.466776</v>
      </c>
      <c r="CK17" s="0">
        <v>-54.370813</v>
      </c>
      <c r="CL17" s="0">
        <v>383.5539288125</v>
      </c>
      <c r="CM17" s="0">
        <v>-668.01671087500006</v>
      </c>
      <c r="CN17" s="305">
        <v>-217.08428854266521</v>
      </c>
      <c r="CO17" s="305">
        <v>232.02945685048911</v>
      </c>
      <c r="CP17" s="305">
        <v>760359908.062046</v>
      </c>
      <c r="CQ17" s="0">
        <v>-184.38197337639289</v>
      </c>
      <c r="CR17" s="0">
        <v>142.29392521765212</v>
      </c>
      <c r="CS17" s="0">
        <v>2.8880398140692694</v>
      </c>
      <c r="CT17" s="0">
        <v>9.8100711146525263</v>
      </c>
      <c r="CU17" s="0">
        <v>1319.8720409480259</v>
      </c>
      <c r="CV17" s="0">
        <v>112.128073</v>
      </c>
      <c r="CW17" s="0">
        <v>-184.622182</v>
      </c>
    </row>
    <row r="18">
      <c r="D18" s="0">
        <v>108</v>
      </c>
      <c r="E18" s="0" t="s">
        <v>130</v>
      </c>
      <c r="F18" s="0">
        <v>26350</v>
      </c>
      <c r="G18" s="0">
        <v>0</v>
      </c>
      <c r="H18" s="0">
        <v>2</v>
      </c>
      <c r="I18" s="0">
        <v>600</v>
      </c>
      <c r="J18" s="0">
        <v>40</v>
      </c>
      <c r="K18" s="0">
        <v>1936.3312351792665</v>
      </c>
      <c r="L18" s="0">
        <v>40</v>
      </c>
      <c r="M18" s="0">
        <v>120</v>
      </c>
      <c r="N18" s="0">
        <v>2800</v>
      </c>
      <c r="O18" s="0">
        <v>12</v>
      </c>
      <c r="P18" s="0">
        <v>0.125</v>
      </c>
      <c r="Q18" s="0">
        <v>0</v>
      </c>
      <c r="R18" s="0">
        <v>290</v>
      </c>
      <c r="S18" s="0">
        <v>0</v>
      </c>
      <c r="T18" s="0">
        <v>0</v>
      </c>
      <c r="U18" s="0">
        <v>2400</v>
      </c>
      <c r="V18" s="0">
        <v>2400</v>
      </c>
      <c r="W18" s="0">
        <v>0</v>
      </c>
      <c r="X18" s="0">
        <v>0</v>
      </c>
      <c r="Y18" s="0">
        <v>6100</v>
      </c>
      <c r="Z18" s="0">
        <v>65080</v>
      </c>
      <c r="AA18" s="0">
        <v>5450</v>
      </c>
      <c r="AB18" s="0">
        <v>2</v>
      </c>
      <c r="AC18" s="0">
        <v>2500</v>
      </c>
      <c r="AD18" s="0">
        <v>2</v>
      </c>
      <c r="AE18" s="0">
        <v>10</v>
      </c>
      <c r="AF18" s="0">
        <v>160</v>
      </c>
      <c r="AG18" s="0">
        <v>0</v>
      </c>
      <c r="AH18" s="0">
        <v>0</v>
      </c>
      <c r="AI18" s="0">
        <v>0</v>
      </c>
      <c r="AJ18" s="0">
        <v>5428.6721054031623</v>
      </c>
      <c r="AK18" s="0">
        <v>5428.6721054031623</v>
      </c>
      <c r="AL18" s="0">
        <v>0</v>
      </c>
      <c r="AM18" s="305">
        <v>5000</v>
      </c>
      <c r="AN18" s="305">
        <v>700</v>
      </c>
      <c r="AO18" s="305">
        <v>380</v>
      </c>
      <c r="AP18" s="305">
        <v>380</v>
      </c>
      <c r="AQ18" s="305">
        <v>355</v>
      </c>
      <c r="AR18" s="305">
        <v>-223.11749655520941</v>
      </c>
      <c r="AS18" s="305">
        <v>160.63048513617963</v>
      </c>
      <c r="AT18" s="305">
        <v>1674.4801816202541</v>
      </c>
      <c r="AU18" s="305">
        <v>1205.5198183797459</v>
      </c>
      <c r="AV18" s="305">
        <v>1647.2000635885395</v>
      </c>
      <c r="AW18" s="305">
        <v>-3.875922</v>
      </c>
      <c r="AX18" s="305">
        <v>0.017658</v>
      </c>
      <c r="AY18" s="305">
        <v>2.005184</v>
      </c>
      <c r="AZ18" s="305" t="s">
        <v>27</v>
      </c>
      <c r="BA18" s="305">
        <v>1634.4801816202541</v>
      </c>
      <c r="BB18" s="305">
        <v>-28.805945</v>
      </c>
      <c r="BC18" s="305">
        <v>-0.852993</v>
      </c>
      <c r="BD18" s="305">
        <v>-8.421569</v>
      </c>
      <c r="BE18" s="305">
        <v>11479.391</v>
      </c>
      <c r="BF18" s="305">
        <v>26.756867</v>
      </c>
      <c r="BG18" s="305">
        <v>19622.456</v>
      </c>
      <c r="BH18" s="67">
        <v>380</v>
      </c>
      <c r="BI18" s="0">
        <v>380</v>
      </c>
      <c r="BJ18" s="0" t="s">
        <v>131</v>
      </c>
      <c r="BK18" s="0">
        <v>23.650239285608752</v>
      </c>
      <c r="BL18" s="0">
        <v>127657.96900526235</v>
      </c>
      <c r="BM18" s="0">
        <v>5045.607</v>
      </c>
      <c r="BN18" s="0">
        <v>5155.341</v>
      </c>
      <c r="BO18" s="0">
        <v>16766.5904375</v>
      </c>
      <c r="BP18" s="0">
        <v>-1683.4200222499999</v>
      </c>
      <c r="BQ18" s="0">
        <v>242237672.38679606</v>
      </c>
      <c r="BR18" s="0">
        <v>242237672.38679606</v>
      </c>
      <c r="BS18" s="0">
        <v>276171816.849445</v>
      </c>
      <c r="BT18" s="0">
        <v>292194124.02817529</v>
      </c>
      <c r="BU18" s="0">
        <v>174395802.36649755</v>
      </c>
      <c r="BV18" s="0">
        <v>174395802.36649755</v>
      </c>
      <c r="BW18" s="0">
        <v>431033723.3003518</v>
      </c>
      <c r="BX18" s="0">
        <v>992522721.47909129</v>
      </c>
      <c r="BY18" s="0">
        <v>250551136.25302339</v>
      </c>
      <c r="BZ18" s="0">
        <v>257954497.22163042</v>
      </c>
      <c r="CA18" s="0">
        <v>718352140.77916825</v>
      </c>
      <c r="CB18" s="0">
        <v>-68.280487</v>
      </c>
      <c r="CC18" s="0">
        <v>-9.892909</v>
      </c>
      <c r="CD18" s="0">
        <v>1811.4610982500003</v>
      </c>
      <c r="CE18" s="0">
        <v>-2018.02172825</v>
      </c>
      <c r="CF18" s="0">
        <v>655.02299603526535</v>
      </c>
      <c r="CG18" s="0">
        <v>2224.9770039647346</v>
      </c>
      <c r="CH18" s="0">
        <v>-286.09762701280943</v>
      </c>
      <c r="CI18" s="0">
        <v>314.75550421465965</v>
      </c>
      <c r="CJ18" s="0">
        <v>16.633224</v>
      </c>
      <c r="CK18" s="0">
        <v>-3.140813</v>
      </c>
      <c r="CL18" s="0">
        <v>545.270230875</v>
      </c>
      <c r="CM18" s="0">
        <v>-490.97896049999997</v>
      </c>
      <c r="CN18" s="305">
        <v>-224.12101269817921</v>
      </c>
      <c r="CO18" s="305">
        <v>240.03753763444428</v>
      </c>
      <c r="CP18" s="305">
        <v>760359908.062046</v>
      </c>
      <c r="CQ18" s="0">
        <v>-190.1998261091729</v>
      </c>
      <c r="CR18" s="0">
        <v>146.77419948057477</v>
      </c>
      <c r="CS18" s="0">
        <v>3.0261789861334405</v>
      </c>
      <c r="CT18" s="0">
        <v>10.279301176879169</v>
      </c>
      <c r="CU18" s="0">
        <v>1319.8720409480259</v>
      </c>
      <c r="CV18" s="0">
        <v>155.048963</v>
      </c>
      <c r="CW18" s="0">
        <v>-142.468176</v>
      </c>
    </row>
    <row r="19">
      <c r="D19" s="0">
        <v>109</v>
      </c>
      <c r="E19" s="0" t="s">
        <v>126</v>
      </c>
      <c r="F19" s="0">
        <v>31350</v>
      </c>
      <c r="G19" s="0">
        <v>0</v>
      </c>
      <c r="H19" s="0">
        <v>2</v>
      </c>
      <c r="I19" s="0">
        <v>600</v>
      </c>
      <c r="J19" s="0">
        <v>40</v>
      </c>
      <c r="K19" s="0">
        <v>1936.3312351792665</v>
      </c>
      <c r="L19" s="0">
        <v>40</v>
      </c>
      <c r="M19" s="0">
        <v>120</v>
      </c>
      <c r="N19" s="0">
        <v>2800</v>
      </c>
      <c r="O19" s="0">
        <v>12</v>
      </c>
      <c r="P19" s="0">
        <v>0.125</v>
      </c>
      <c r="Q19" s="0">
        <v>0</v>
      </c>
      <c r="R19" s="0">
        <v>290</v>
      </c>
      <c r="S19" s="0">
        <v>0</v>
      </c>
      <c r="T19" s="0">
        <v>0</v>
      </c>
      <c r="U19" s="0">
        <v>2400</v>
      </c>
      <c r="V19" s="0">
        <v>2400</v>
      </c>
      <c r="W19" s="0">
        <v>0</v>
      </c>
      <c r="X19" s="0">
        <v>0</v>
      </c>
      <c r="Y19" s="0">
        <v>6100</v>
      </c>
      <c r="Z19" s="0">
        <v>65080</v>
      </c>
      <c r="AA19" s="0">
        <v>5450</v>
      </c>
      <c r="AB19" s="0">
        <v>2</v>
      </c>
      <c r="AC19" s="0">
        <v>2500</v>
      </c>
      <c r="AD19" s="0">
        <v>2</v>
      </c>
      <c r="AE19" s="0">
        <v>10</v>
      </c>
      <c r="AF19" s="0">
        <v>160</v>
      </c>
      <c r="AG19" s="0">
        <v>0</v>
      </c>
      <c r="AH19" s="0">
        <v>0</v>
      </c>
      <c r="AI19" s="0">
        <v>0</v>
      </c>
      <c r="AJ19" s="0">
        <v>5428.6721054031623</v>
      </c>
      <c r="AK19" s="0">
        <v>5428.6721054031623</v>
      </c>
      <c r="AL19" s="0">
        <v>0</v>
      </c>
      <c r="AM19" s="305">
        <v>5000</v>
      </c>
      <c r="AN19" s="305">
        <v>700</v>
      </c>
      <c r="AO19" s="305">
        <v>380</v>
      </c>
      <c r="AP19" s="305">
        <v>380</v>
      </c>
      <c r="AQ19" s="305">
        <v>355</v>
      </c>
      <c r="AR19" s="305">
        <v>-223.11749655520941</v>
      </c>
      <c r="AS19" s="305">
        <v>160.63048513617963</v>
      </c>
      <c r="AT19" s="305">
        <v>1674.4801816202541</v>
      </c>
      <c r="AU19" s="305">
        <v>1205.5198183797459</v>
      </c>
      <c r="AV19" s="305">
        <v>1647.2000635885395</v>
      </c>
      <c r="AW19" s="305">
        <v>-3.875922</v>
      </c>
      <c r="AX19" s="305">
        <v>0.017658</v>
      </c>
      <c r="AY19" s="305">
        <v>2.005184</v>
      </c>
      <c r="AZ19" s="305" t="s">
        <v>27</v>
      </c>
      <c r="BA19" s="305">
        <v>1634.4801816202541</v>
      </c>
      <c r="BB19" s="305">
        <v>-28.805945</v>
      </c>
      <c r="BC19" s="305">
        <v>-0.852993</v>
      </c>
      <c r="BD19" s="305">
        <v>-8.421569</v>
      </c>
      <c r="BE19" s="305">
        <v>11479.391</v>
      </c>
      <c r="BF19" s="305">
        <v>26.756867</v>
      </c>
      <c r="BG19" s="305">
        <v>19622.456</v>
      </c>
      <c r="BH19" s="67">
        <v>380</v>
      </c>
      <c r="BI19" s="0">
        <v>380</v>
      </c>
      <c r="BJ19" s="0" t="s">
        <v>131</v>
      </c>
      <c r="BK19" s="0">
        <v>23.650239285608752</v>
      </c>
      <c r="BL19" s="0">
        <v>127657.96900526235</v>
      </c>
      <c r="BM19" s="0">
        <v>5045.607</v>
      </c>
      <c r="BN19" s="0">
        <v>5155.341</v>
      </c>
      <c r="BO19" s="0">
        <v>16766.5904375</v>
      </c>
      <c r="BP19" s="0">
        <v>-1683.4200222499999</v>
      </c>
      <c r="BQ19" s="0">
        <v>242237672.38679606</v>
      </c>
      <c r="BR19" s="0">
        <v>242237672.38679606</v>
      </c>
      <c r="BS19" s="0">
        <v>276171816.849445</v>
      </c>
      <c r="BT19" s="0">
        <v>292194124.02817529</v>
      </c>
      <c r="BU19" s="0">
        <v>174395802.36649755</v>
      </c>
      <c r="BV19" s="0">
        <v>174395802.36649755</v>
      </c>
      <c r="BW19" s="0">
        <v>431033723.3003518</v>
      </c>
      <c r="BX19" s="0">
        <v>992522721.47909129</v>
      </c>
      <c r="BY19" s="0">
        <v>250551136.25302339</v>
      </c>
      <c r="BZ19" s="0">
        <v>257954497.22163042</v>
      </c>
      <c r="CA19" s="0">
        <v>718352140.77916825</v>
      </c>
      <c r="CB19" s="0">
        <v>-68.280487</v>
      </c>
      <c r="CC19" s="0">
        <v>-9.892909</v>
      </c>
      <c r="CD19" s="0">
        <v>1811.4610982500003</v>
      </c>
      <c r="CE19" s="0">
        <v>-2018.02172825</v>
      </c>
      <c r="CF19" s="0">
        <v>655.02299603526535</v>
      </c>
      <c r="CG19" s="0">
        <v>2224.9770039647346</v>
      </c>
      <c r="CH19" s="0">
        <v>-286.09762701280943</v>
      </c>
      <c r="CI19" s="0">
        <v>314.75550421465965</v>
      </c>
      <c r="CJ19" s="0">
        <v>16.633224</v>
      </c>
      <c r="CK19" s="0">
        <v>-3.140813</v>
      </c>
      <c r="CL19" s="0">
        <v>545.270230875</v>
      </c>
      <c r="CM19" s="0">
        <v>-490.97896049999997</v>
      </c>
      <c r="CN19" s="305">
        <v>-224.12101269817921</v>
      </c>
      <c r="CO19" s="305">
        <v>240.03753763444428</v>
      </c>
      <c r="CP19" s="305">
        <v>760359908.062046</v>
      </c>
      <c r="CQ19" s="0">
        <v>-190.1998261091729</v>
      </c>
      <c r="CR19" s="0">
        <v>146.77419948057477</v>
      </c>
      <c r="CS19" s="0">
        <v>3.0261789861334405</v>
      </c>
      <c r="CT19" s="0">
        <v>10.279301176879169</v>
      </c>
      <c r="CU19" s="0">
        <v>1319.8720409480259</v>
      </c>
      <c r="CV19" s="0">
        <v>155.048963</v>
      </c>
      <c r="CW19" s="0">
        <v>-142.468176</v>
      </c>
    </row>
    <row r="20">
      <c r="D20" s="0">
        <v>109</v>
      </c>
      <c r="E20" s="0" t="s">
        <v>126</v>
      </c>
      <c r="F20" s="0">
        <v>31350</v>
      </c>
      <c r="G20" s="0">
        <v>0</v>
      </c>
      <c r="H20" s="0">
        <v>2</v>
      </c>
      <c r="I20" s="0">
        <v>600</v>
      </c>
      <c r="J20" s="0">
        <v>40</v>
      </c>
      <c r="K20" s="0">
        <v>1936.3312351792665</v>
      </c>
      <c r="L20" s="0">
        <v>40</v>
      </c>
      <c r="M20" s="0">
        <v>120</v>
      </c>
      <c r="N20" s="0">
        <v>2800</v>
      </c>
      <c r="O20" s="0">
        <v>12</v>
      </c>
      <c r="P20" s="0">
        <v>0.125</v>
      </c>
      <c r="Q20" s="0">
        <v>0</v>
      </c>
      <c r="R20" s="0">
        <v>290</v>
      </c>
      <c r="S20" s="0">
        <v>0</v>
      </c>
      <c r="T20" s="0">
        <v>0</v>
      </c>
      <c r="U20" s="0">
        <v>2400</v>
      </c>
      <c r="V20" s="0">
        <v>2400</v>
      </c>
      <c r="W20" s="0">
        <v>0</v>
      </c>
      <c r="X20" s="0">
        <v>0</v>
      </c>
      <c r="Y20" s="0">
        <v>6100</v>
      </c>
      <c r="Z20" s="0">
        <v>65080</v>
      </c>
      <c r="AA20" s="0">
        <v>5450</v>
      </c>
      <c r="AB20" s="0">
        <v>2</v>
      </c>
      <c r="AC20" s="0">
        <v>2500</v>
      </c>
      <c r="AD20" s="0">
        <v>2</v>
      </c>
      <c r="AE20" s="0">
        <v>10</v>
      </c>
      <c r="AF20" s="0">
        <v>160</v>
      </c>
      <c r="AG20" s="0">
        <v>0</v>
      </c>
      <c r="AH20" s="0">
        <v>0</v>
      </c>
      <c r="AI20" s="0">
        <v>0</v>
      </c>
      <c r="AJ20" s="0">
        <v>5428.6721054031623</v>
      </c>
      <c r="AK20" s="0">
        <v>5428.6721054031623</v>
      </c>
      <c r="AL20" s="0">
        <v>0</v>
      </c>
      <c r="AM20" s="305">
        <v>5000</v>
      </c>
      <c r="AN20" s="305">
        <v>700</v>
      </c>
      <c r="AO20" s="305">
        <v>380</v>
      </c>
      <c r="AP20" s="305">
        <v>380</v>
      </c>
      <c r="AQ20" s="305">
        <v>355</v>
      </c>
      <c r="AR20" s="305">
        <v>-219.00843096116466</v>
      </c>
      <c r="AS20" s="305">
        <v>157.67221781058484</v>
      </c>
      <c r="AT20" s="305">
        <v>1674.4801816202541</v>
      </c>
      <c r="AU20" s="305">
        <v>1205.5198183797459</v>
      </c>
      <c r="AV20" s="305">
        <v>1647.2000635885395</v>
      </c>
      <c r="AW20" s="305">
        <v>-3.875922</v>
      </c>
      <c r="AX20" s="305">
        <v>0.017658</v>
      </c>
      <c r="AY20" s="305">
        <v>66.212996</v>
      </c>
      <c r="AZ20" s="305" t="s">
        <v>27</v>
      </c>
      <c r="BA20" s="305">
        <v>1634.4801816202541</v>
      </c>
      <c r="BB20" s="305">
        <v>79.105794</v>
      </c>
      <c r="BC20" s="305">
        <v>-0.852993</v>
      </c>
      <c r="BD20" s="305">
        <v>189.140931</v>
      </c>
      <c r="BE20" s="305">
        <v>11353.641</v>
      </c>
      <c r="BF20" s="305">
        <v>31.021834</v>
      </c>
      <c r="BG20" s="305">
        <v>19170.658</v>
      </c>
      <c r="BH20" s="67">
        <v>380</v>
      </c>
      <c r="BI20" s="0">
        <v>380</v>
      </c>
      <c r="BJ20" s="0" t="s">
        <v>131</v>
      </c>
      <c r="BK20" s="0">
        <v>23.650239285608752</v>
      </c>
      <c r="BL20" s="0">
        <v>127657.96900526235</v>
      </c>
      <c r="BM20" s="0">
        <v>4729.691</v>
      </c>
      <c r="BN20" s="0">
        <v>5042.97</v>
      </c>
      <c r="BO20" s="0">
        <v>16001.484250000001</v>
      </c>
      <c r="BP20" s="0">
        <v>-1945.4051349999998</v>
      </c>
      <c r="BQ20" s="0">
        <v>242237672.38679606</v>
      </c>
      <c r="BR20" s="0">
        <v>242237672.38679606</v>
      </c>
      <c r="BS20" s="0">
        <v>276171816.849445</v>
      </c>
      <c r="BT20" s="0">
        <v>292194124.02817529</v>
      </c>
      <c r="BU20" s="0">
        <v>174395802.36649755</v>
      </c>
      <c r="BV20" s="0">
        <v>174395802.36649755</v>
      </c>
      <c r="BW20" s="0">
        <v>431033723.3003518</v>
      </c>
      <c r="BX20" s="0">
        <v>992522721.47909129</v>
      </c>
      <c r="BY20" s="0">
        <v>250551136.25302339</v>
      </c>
      <c r="BZ20" s="0">
        <v>257954497.22163042</v>
      </c>
      <c r="CA20" s="0">
        <v>718352140.77916825</v>
      </c>
      <c r="CB20" s="0">
        <v>194.727013</v>
      </c>
      <c r="CC20" s="0">
        <v>6.756841</v>
      </c>
      <c r="CD20" s="0">
        <v>2408.7439590000004</v>
      </c>
      <c r="CE20" s="0">
        <v>-1525.9478127500001</v>
      </c>
      <c r="CF20" s="0">
        <v>655.02299603526535</v>
      </c>
      <c r="CG20" s="0">
        <v>2224.9770039647346</v>
      </c>
      <c r="CH20" s="0">
        <v>-279.29378527791317</v>
      </c>
      <c r="CI20" s="0">
        <v>305.04374145414772</v>
      </c>
      <c r="CJ20" s="0">
        <v>109.733224</v>
      </c>
      <c r="CK20" s="0">
        <v>48.089187</v>
      </c>
      <c r="CL20" s="0">
        <v>735.9795026875</v>
      </c>
      <c r="CM20" s="0">
        <v>-346.30448812500003</v>
      </c>
      <c r="CN20" s="305">
        <v>-218.83800137394536</v>
      </c>
      <c r="CO20" s="305">
        <v>232.71609305029477</v>
      </c>
      <c r="CP20" s="305">
        <v>760359908.062046</v>
      </c>
      <c r="CQ20" s="0">
        <v>-186.17964722256244</v>
      </c>
      <c r="CR20" s="0">
        <v>143.2636745447258</v>
      </c>
      <c r="CS20" s="0">
        <v>2.9456224099264507</v>
      </c>
      <c r="CT20" s="0">
        <v>10.005667227134545</v>
      </c>
      <c r="CU20" s="0">
        <v>1319.8720409480259</v>
      </c>
      <c r="CV20" s="0">
        <v>200.816234</v>
      </c>
      <c r="CW20" s="0">
        <v>-105.166442</v>
      </c>
    </row>
    <row r="21">
      <c r="D21" s="0">
        <v>110</v>
      </c>
      <c r="E21" s="0" t="s">
        <v>130</v>
      </c>
      <c r="F21" s="0">
        <v>36350</v>
      </c>
      <c r="G21" s="0">
        <v>0</v>
      </c>
      <c r="H21" s="0">
        <v>2</v>
      </c>
      <c r="I21" s="0">
        <v>600</v>
      </c>
      <c r="J21" s="0">
        <v>40</v>
      </c>
      <c r="K21" s="0">
        <v>1936.3312351792665</v>
      </c>
      <c r="L21" s="0">
        <v>40</v>
      </c>
      <c r="M21" s="0">
        <v>120</v>
      </c>
      <c r="N21" s="0">
        <v>2800</v>
      </c>
      <c r="O21" s="0">
        <v>12</v>
      </c>
      <c r="P21" s="0">
        <v>0.125</v>
      </c>
      <c r="Q21" s="0">
        <v>0</v>
      </c>
      <c r="R21" s="0">
        <v>290</v>
      </c>
      <c r="S21" s="0">
        <v>0</v>
      </c>
      <c r="T21" s="0">
        <v>0</v>
      </c>
      <c r="U21" s="0">
        <v>2400</v>
      </c>
      <c r="V21" s="0">
        <v>2400</v>
      </c>
      <c r="W21" s="0">
        <v>0</v>
      </c>
      <c r="X21" s="0">
        <v>0</v>
      </c>
      <c r="Y21" s="0">
        <v>6100</v>
      </c>
      <c r="Z21" s="0">
        <v>65080</v>
      </c>
      <c r="AA21" s="0">
        <v>5450</v>
      </c>
      <c r="AB21" s="0">
        <v>2</v>
      </c>
      <c r="AC21" s="0">
        <v>2500</v>
      </c>
      <c r="AD21" s="0">
        <v>2</v>
      </c>
      <c r="AE21" s="0">
        <v>10</v>
      </c>
      <c r="AF21" s="0">
        <v>160</v>
      </c>
      <c r="AG21" s="0">
        <v>0</v>
      </c>
      <c r="AH21" s="0">
        <v>0</v>
      </c>
      <c r="AI21" s="0">
        <v>0</v>
      </c>
      <c r="AJ21" s="0">
        <v>5428.6721054031623</v>
      </c>
      <c r="AK21" s="0">
        <v>5428.6721054031623</v>
      </c>
      <c r="AL21" s="0">
        <v>0</v>
      </c>
      <c r="AM21" s="305">
        <v>2500</v>
      </c>
      <c r="AN21" s="305">
        <v>700</v>
      </c>
      <c r="AO21" s="305">
        <v>380</v>
      </c>
      <c r="AP21" s="305">
        <v>380</v>
      </c>
      <c r="AQ21" s="305">
        <v>355</v>
      </c>
      <c r="AR21" s="305">
        <v>-219.00843096116466</v>
      </c>
      <c r="AS21" s="305">
        <v>157.67221781058484</v>
      </c>
      <c r="AT21" s="305">
        <v>1674.4801816202541</v>
      </c>
      <c r="AU21" s="305">
        <v>1205.5198183797459</v>
      </c>
      <c r="AV21" s="305">
        <v>1647.2000635885395</v>
      </c>
      <c r="AW21" s="305">
        <v>1.378571</v>
      </c>
      <c r="AX21" s="305">
        <v>0.030124</v>
      </c>
      <c r="AY21" s="305">
        <v>-34.091902</v>
      </c>
      <c r="AZ21" s="305" t="s">
        <v>27</v>
      </c>
      <c r="BA21" s="305">
        <v>1634.4801816202541</v>
      </c>
      <c r="BB21" s="305">
        <v>94.464214</v>
      </c>
      <c r="BC21" s="305">
        <v>-0.851709</v>
      </c>
      <c r="BD21" s="305">
        <v>187.659171</v>
      </c>
      <c r="BE21" s="305">
        <v>11353.641</v>
      </c>
      <c r="BF21" s="305">
        <v>31.021834</v>
      </c>
      <c r="BG21" s="305">
        <v>19170.658</v>
      </c>
      <c r="BH21" s="67">
        <v>380</v>
      </c>
      <c r="BI21" s="0">
        <v>380</v>
      </c>
      <c r="BJ21" s="0" t="s">
        <v>131</v>
      </c>
      <c r="BK21" s="0">
        <v>23.650239285608752</v>
      </c>
      <c r="BL21" s="0">
        <v>127657.96900526235</v>
      </c>
      <c r="BM21" s="0">
        <v>4729.692</v>
      </c>
      <c r="BN21" s="0">
        <v>5042.97</v>
      </c>
      <c r="BO21" s="0">
        <v>16001.484250000001</v>
      </c>
      <c r="BP21" s="0">
        <v>-1945.4047255</v>
      </c>
      <c r="BQ21" s="0">
        <v>242237672.38679606</v>
      </c>
      <c r="BR21" s="0">
        <v>242237672.38679606</v>
      </c>
      <c r="BS21" s="0">
        <v>276171816.849445</v>
      </c>
      <c r="BT21" s="0">
        <v>292194124.02817529</v>
      </c>
      <c r="BU21" s="0">
        <v>174395802.36649755</v>
      </c>
      <c r="BV21" s="0">
        <v>174395802.36649755</v>
      </c>
      <c r="BW21" s="0">
        <v>431033723.3003518</v>
      </c>
      <c r="BX21" s="0">
        <v>992522721.47909129</v>
      </c>
      <c r="BY21" s="0">
        <v>250551136.25302339</v>
      </c>
      <c r="BZ21" s="0">
        <v>257954497.22163042</v>
      </c>
      <c r="CA21" s="0">
        <v>718352140.77916825</v>
      </c>
      <c r="CB21" s="0">
        <v>-194.849104</v>
      </c>
      <c r="CC21" s="0">
        <v>-12.231951</v>
      </c>
      <c r="CD21" s="0">
        <v>1597.905431625</v>
      </c>
      <c r="CE21" s="0">
        <v>-2311.7216844999994</v>
      </c>
      <c r="CF21" s="0">
        <v>655.02299603526535</v>
      </c>
      <c r="CG21" s="0">
        <v>2224.9770039647346</v>
      </c>
      <c r="CH21" s="0">
        <v>-279.29378817791826</v>
      </c>
      <c r="CI21" s="0">
        <v>305.04374598031558</v>
      </c>
      <c r="CJ21" s="0">
        <v>25.569592</v>
      </c>
      <c r="CK21" s="0">
        <v>47.671088</v>
      </c>
      <c r="CL21" s="0">
        <v>562.3642584375</v>
      </c>
      <c r="CM21" s="0">
        <v>-511.07027062499992</v>
      </c>
      <c r="CN21" s="305">
        <v>-218.83800369394945</v>
      </c>
      <c r="CO21" s="305">
        <v>232.71609667122905</v>
      </c>
      <c r="CP21" s="305">
        <v>760359908.062046</v>
      </c>
      <c r="CQ21" s="0">
        <v>-186.17964954256652</v>
      </c>
      <c r="CR21" s="0">
        <v>143.26367816566008</v>
      </c>
      <c r="CS21" s="0">
        <v>2.9456223728995905</v>
      </c>
      <c r="CT21" s="0">
        <v>10.005667101361995</v>
      </c>
      <c r="CU21" s="0">
        <v>1319.8720409480259</v>
      </c>
      <c r="CV21" s="0">
        <v>155.496431</v>
      </c>
      <c r="CW21" s="0">
        <v>-148.074431</v>
      </c>
    </row>
    <row r="22">
      <c r="D22" s="0">
        <v>110</v>
      </c>
      <c r="E22" s="0" t="s">
        <v>130</v>
      </c>
      <c r="F22" s="0">
        <v>36350</v>
      </c>
      <c r="G22" s="0">
        <v>0</v>
      </c>
      <c r="H22" s="0">
        <v>2</v>
      </c>
      <c r="I22" s="0">
        <v>600</v>
      </c>
      <c r="J22" s="0">
        <v>40</v>
      </c>
      <c r="K22" s="0">
        <v>1936.3312351792665</v>
      </c>
      <c r="L22" s="0">
        <v>40</v>
      </c>
      <c r="M22" s="0">
        <v>120</v>
      </c>
      <c r="N22" s="0">
        <v>2800</v>
      </c>
      <c r="O22" s="0">
        <v>12</v>
      </c>
      <c r="P22" s="0">
        <v>0.125</v>
      </c>
      <c r="Q22" s="0">
        <v>0</v>
      </c>
      <c r="R22" s="0">
        <v>290</v>
      </c>
      <c r="S22" s="0">
        <v>0</v>
      </c>
      <c r="T22" s="0">
        <v>0</v>
      </c>
      <c r="U22" s="0">
        <v>2400</v>
      </c>
      <c r="V22" s="0">
        <v>2400</v>
      </c>
      <c r="W22" s="0">
        <v>0</v>
      </c>
      <c r="X22" s="0">
        <v>0</v>
      </c>
      <c r="Y22" s="0">
        <v>6100</v>
      </c>
      <c r="Z22" s="0">
        <v>65080</v>
      </c>
      <c r="AA22" s="0">
        <v>5450</v>
      </c>
      <c r="AB22" s="0">
        <v>2</v>
      </c>
      <c r="AC22" s="0">
        <v>2500</v>
      </c>
      <c r="AD22" s="0">
        <v>2</v>
      </c>
      <c r="AE22" s="0">
        <v>10</v>
      </c>
      <c r="AF22" s="0">
        <v>160</v>
      </c>
      <c r="AG22" s="0">
        <v>0</v>
      </c>
      <c r="AH22" s="0">
        <v>0</v>
      </c>
      <c r="AI22" s="0">
        <v>0</v>
      </c>
      <c r="AJ22" s="0">
        <v>5428.6721054031623</v>
      </c>
      <c r="AK22" s="0">
        <v>5428.6721054031623</v>
      </c>
      <c r="AL22" s="0">
        <v>0</v>
      </c>
      <c r="AM22" s="305">
        <v>2500</v>
      </c>
      <c r="AN22" s="305">
        <v>700</v>
      </c>
      <c r="AO22" s="305">
        <v>380</v>
      </c>
      <c r="AP22" s="305">
        <v>380</v>
      </c>
      <c r="AQ22" s="305">
        <v>355</v>
      </c>
      <c r="AR22" s="305">
        <v>-212.59987127346489</v>
      </c>
      <c r="AS22" s="305">
        <v>153.05846018264074</v>
      </c>
      <c r="AT22" s="305">
        <v>1674.4801816202541</v>
      </c>
      <c r="AU22" s="305">
        <v>1205.5198183797459</v>
      </c>
      <c r="AV22" s="305">
        <v>1647.2000635885395</v>
      </c>
      <c r="AW22" s="305">
        <v>1.378571</v>
      </c>
      <c r="AX22" s="305">
        <v>0.030124</v>
      </c>
      <c r="AY22" s="305">
        <v>-1.987996</v>
      </c>
      <c r="AZ22" s="305" t="s">
        <v>27</v>
      </c>
      <c r="BA22" s="305">
        <v>1634.4801816202541</v>
      </c>
      <c r="BB22" s="305">
        <v>148.420083</v>
      </c>
      <c r="BC22" s="305">
        <v>-0.851709</v>
      </c>
      <c r="BD22" s="305">
        <v>286.440421</v>
      </c>
      <c r="BE22" s="305">
        <v>11050.036</v>
      </c>
      <c r="BF22" s="305">
        <v>33.151107</v>
      </c>
      <c r="BG22" s="305">
        <v>18578.033</v>
      </c>
      <c r="BH22" s="67">
        <v>380</v>
      </c>
      <c r="BI22" s="0">
        <v>380</v>
      </c>
      <c r="BJ22" s="0" t="s">
        <v>131</v>
      </c>
      <c r="BK22" s="0">
        <v>23.650239285608752</v>
      </c>
      <c r="BL22" s="0">
        <v>127657.96900526235</v>
      </c>
      <c r="BM22" s="0">
        <v>4607.58</v>
      </c>
      <c r="BN22" s="0">
        <v>4891.773</v>
      </c>
      <c r="BO22" s="0">
        <v>15811.693</v>
      </c>
      <c r="BP22" s="0">
        <v>-2089.43187325</v>
      </c>
      <c r="BQ22" s="0">
        <v>242237672.38679606</v>
      </c>
      <c r="BR22" s="0">
        <v>242237672.38679606</v>
      </c>
      <c r="BS22" s="0">
        <v>276171816.849445</v>
      </c>
      <c r="BT22" s="0">
        <v>292194124.02817529</v>
      </c>
      <c r="BU22" s="0">
        <v>174395802.36649755</v>
      </c>
      <c r="BV22" s="0">
        <v>174395802.36649755</v>
      </c>
      <c r="BW22" s="0">
        <v>431033723.3003518</v>
      </c>
      <c r="BX22" s="0">
        <v>992522721.47909129</v>
      </c>
      <c r="BY22" s="0">
        <v>250551136.25302339</v>
      </c>
      <c r="BZ22" s="0">
        <v>257954497.22163042</v>
      </c>
      <c r="CA22" s="0">
        <v>718352140.77916825</v>
      </c>
      <c r="CB22" s="0">
        <v>-63.345354</v>
      </c>
      <c r="CC22" s="0">
        <v>-3.907076</v>
      </c>
      <c r="CD22" s="0">
        <v>1859.197807625</v>
      </c>
      <c r="CE22" s="0">
        <v>-2016.4012989999999</v>
      </c>
      <c r="CF22" s="0">
        <v>655.02299603526535</v>
      </c>
      <c r="CG22" s="0">
        <v>2224.9770039647346</v>
      </c>
      <c r="CH22" s="0">
        <v>-271.66073866552739</v>
      </c>
      <c r="CI22" s="0">
        <v>297.88690855321306</v>
      </c>
      <c r="CJ22" s="0">
        <v>72.119592</v>
      </c>
      <c r="CK22" s="0">
        <v>73.286088</v>
      </c>
      <c r="CL22" s="0">
        <v>649.18437981250008</v>
      </c>
      <c r="CM22" s="0">
        <v>-427.592653875</v>
      </c>
      <c r="CN22" s="305">
        <v>-212.82849056448751</v>
      </c>
      <c r="CO22" s="305">
        <v>227.19105695996259</v>
      </c>
      <c r="CP22" s="305">
        <v>760359908.062046</v>
      </c>
      <c r="CQ22" s="0">
        <v>-180.76950145324759</v>
      </c>
      <c r="CR22" s="0">
        <v>139.13051253597487</v>
      </c>
      <c r="CS22" s="0">
        <v>2.9434247992795628</v>
      </c>
      <c r="CT22" s="0">
        <v>9.99820240042985</v>
      </c>
      <c r="CU22" s="0">
        <v>1319.8720409480259</v>
      </c>
      <c r="CV22" s="0">
        <v>176.525952</v>
      </c>
      <c r="CW22" s="0">
        <v>-127.183805</v>
      </c>
    </row>
    <row r="23">
      <c r="D23" s="0">
        <v>111</v>
      </c>
      <c r="E23" s="0" t="s">
        <v>126</v>
      </c>
      <c r="F23" s="0">
        <v>38850</v>
      </c>
      <c r="G23" s="0">
        <v>0</v>
      </c>
      <c r="H23" s="0">
        <v>2</v>
      </c>
      <c r="I23" s="0">
        <v>600</v>
      </c>
      <c r="J23" s="0">
        <v>40</v>
      </c>
      <c r="K23" s="0">
        <v>1936.3312351792665</v>
      </c>
      <c r="L23" s="0">
        <v>40</v>
      </c>
      <c r="M23" s="0">
        <v>120</v>
      </c>
      <c r="N23" s="0">
        <v>2800</v>
      </c>
      <c r="O23" s="0">
        <v>12</v>
      </c>
      <c r="P23" s="0">
        <v>0.125</v>
      </c>
      <c r="Q23" s="0">
        <v>0</v>
      </c>
      <c r="R23" s="0">
        <v>290</v>
      </c>
      <c r="S23" s="0">
        <v>0</v>
      </c>
      <c r="T23" s="0">
        <v>0</v>
      </c>
      <c r="U23" s="0">
        <v>2400</v>
      </c>
      <c r="V23" s="0">
        <v>2400</v>
      </c>
      <c r="W23" s="0">
        <v>0</v>
      </c>
      <c r="X23" s="0">
        <v>0</v>
      </c>
      <c r="Y23" s="0">
        <v>6100</v>
      </c>
      <c r="Z23" s="0">
        <v>65080</v>
      </c>
      <c r="AA23" s="0">
        <v>5450</v>
      </c>
      <c r="AB23" s="0">
        <v>2</v>
      </c>
      <c r="AC23" s="0">
        <v>2500</v>
      </c>
      <c r="AD23" s="0">
        <v>2</v>
      </c>
      <c r="AE23" s="0">
        <v>10</v>
      </c>
      <c r="AF23" s="0">
        <v>160</v>
      </c>
      <c r="AG23" s="0">
        <v>0</v>
      </c>
      <c r="AH23" s="0">
        <v>0</v>
      </c>
      <c r="AI23" s="0">
        <v>0</v>
      </c>
      <c r="AJ23" s="0">
        <v>5428.6721054031623</v>
      </c>
      <c r="AK23" s="0">
        <v>5428.6721054031623</v>
      </c>
      <c r="AL23" s="0">
        <v>0</v>
      </c>
      <c r="AM23" s="305">
        <v>2500</v>
      </c>
      <c r="AN23" s="305">
        <v>700</v>
      </c>
      <c r="AO23" s="305">
        <v>380</v>
      </c>
      <c r="AP23" s="305">
        <v>380</v>
      </c>
      <c r="AQ23" s="305">
        <v>355</v>
      </c>
      <c r="AR23" s="305">
        <v>-212.59987127346489</v>
      </c>
      <c r="AS23" s="305">
        <v>153.05846018264074</v>
      </c>
      <c r="AT23" s="305">
        <v>1674.4801816202541</v>
      </c>
      <c r="AU23" s="305">
        <v>1205.5198183797459</v>
      </c>
      <c r="AV23" s="305">
        <v>1647.2000635885395</v>
      </c>
      <c r="AW23" s="305">
        <v>1.378571</v>
      </c>
      <c r="AX23" s="305">
        <v>0.030124</v>
      </c>
      <c r="AY23" s="305">
        <v>-1.987996</v>
      </c>
      <c r="AZ23" s="305" t="s">
        <v>27</v>
      </c>
      <c r="BA23" s="305">
        <v>1634.4801816202541</v>
      </c>
      <c r="BB23" s="305">
        <v>148.420083</v>
      </c>
      <c r="BC23" s="305">
        <v>-0.851709</v>
      </c>
      <c r="BD23" s="305">
        <v>286.440421</v>
      </c>
      <c r="BE23" s="305">
        <v>11050.036</v>
      </c>
      <c r="BF23" s="305">
        <v>33.151107</v>
      </c>
      <c r="BG23" s="305">
        <v>18578.033</v>
      </c>
      <c r="BH23" s="67">
        <v>380</v>
      </c>
      <c r="BI23" s="0">
        <v>380</v>
      </c>
      <c r="BJ23" s="0" t="s">
        <v>131</v>
      </c>
      <c r="BK23" s="0">
        <v>23.650239285608752</v>
      </c>
      <c r="BL23" s="0">
        <v>127657.96900526235</v>
      </c>
      <c r="BM23" s="0">
        <v>4607.58</v>
      </c>
      <c r="BN23" s="0">
        <v>4891.773</v>
      </c>
      <c r="BO23" s="0">
        <v>15811.693</v>
      </c>
      <c r="BP23" s="0">
        <v>-2089.43187325</v>
      </c>
      <c r="BQ23" s="0">
        <v>242237672.38679606</v>
      </c>
      <c r="BR23" s="0">
        <v>242237672.38679606</v>
      </c>
      <c r="BS23" s="0">
        <v>276171816.849445</v>
      </c>
      <c r="BT23" s="0">
        <v>292194124.02817529</v>
      </c>
      <c r="BU23" s="0">
        <v>174395802.36649755</v>
      </c>
      <c r="BV23" s="0">
        <v>174395802.36649755</v>
      </c>
      <c r="BW23" s="0">
        <v>431033723.3003518</v>
      </c>
      <c r="BX23" s="0">
        <v>992522721.47909129</v>
      </c>
      <c r="BY23" s="0">
        <v>250551136.25302339</v>
      </c>
      <c r="BZ23" s="0">
        <v>257954497.22163042</v>
      </c>
      <c r="CA23" s="0">
        <v>718352140.77916825</v>
      </c>
      <c r="CB23" s="0">
        <v>-63.345354</v>
      </c>
      <c r="CC23" s="0">
        <v>-3.907076</v>
      </c>
      <c r="CD23" s="0">
        <v>1859.197807625</v>
      </c>
      <c r="CE23" s="0">
        <v>-2016.4012989999999</v>
      </c>
      <c r="CF23" s="0">
        <v>655.02299603526535</v>
      </c>
      <c r="CG23" s="0">
        <v>2224.9770039647346</v>
      </c>
      <c r="CH23" s="0">
        <v>-271.66073866552739</v>
      </c>
      <c r="CI23" s="0">
        <v>297.88690855321306</v>
      </c>
      <c r="CJ23" s="0">
        <v>72.119592</v>
      </c>
      <c r="CK23" s="0">
        <v>73.286088</v>
      </c>
      <c r="CL23" s="0">
        <v>649.18437981250008</v>
      </c>
      <c r="CM23" s="0">
        <v>-427.592653875</v>
      </c>
      <c r="CN23" s="305">
        <v>-212.82849056448751</v>
      </c>
      <c r="CO23" s="305">
        <v>227.19105695996259</v>
      </c>
      <c r="CP23" s="305">
        <v>760359908.062046</v>
      </c>
      <c r="CQ23" s="0">
        <v>-180.76950145324759</v>
      </c>
      <c r="CR23" s="0">
        <v>139.13051253597487</v>
      </c>
      <c r="CS23" s="0">
        <v>2.9434247992795628</v>
      </c>
      <c r="CT23" s="0">
        <v>9.99820240042985</v>
      </c>
      <c r="CU23" s="0">
        <v>1319.8720409480259</v>
      </c>
      <c r="CV23" s="0">
        <v>176.525952</v>
      </c>
      <c r="CW23" s="0">
        <v>-127.183805</v>
      </c>
    </row>
    <row r="24">
      <c r="D24" s="0">
        <v>111</v>
      </c>
      <c r="E24" s="0" t="s">
        <v>126</v>
      </c>
      <c r="F24" s="0">
        <v>38850</v>
      </c>
      <c r="G24" s="0">
        <v>0</v>
      </c>
      <c r="H24" s="0">
        <v>2</v>
      </c>
      <c r="I24" s="0">
        <v>600</v>
      </c>
      <c r="J24" s="0">
        <v>40</v>
      </c>
      <c r="K24" s="0">
        <v>1936.3312351792665</v>
      </c>
      <c r="L24" s="0">
        <v>40</v>
      </c>
      <c r="M24" s="0">
        <v>120</v>
      </c>
      <c r="N24" s="0">
        <v>2800</v>
      </c>
      <c r="O24" s="0">
        <v>12</v>
      </c>
      <c r="P24" s="0">
        <v>0.125</v>
      </c>
      <c r="Q24" s="0">
        <v>0</v>
      </c>
      <c r="R24" s="0">
        <v>290</v>
      </c>
      <c r="S24" s="0">
        <v>0</v>
      </c>
      <c r="T24" s="0">
        <v>0</v>
      </c>
      <c r="U24" s="0">
        <v>2400</v>
      </c>
      <c r="V24" s="0">
        <v>2400</v>
      </c>
      <c r="W24" s="0">
        <v>0</v>
      </c>
      <c r="X24" s="0">
        <v>0</v>
      </c>
      <c r="Y24" s="0">
        <v>6100</v>
      </c>
      <c r="Z24" s="0">
        <v>65080</v>
      </c>
      <c r="AA24" s="0">
        <v>5450</v>
      </c>
      <c r="AB24" s="0">
        <v>2</v>
      </c>
      <c r="AC24" s="0">
        <v>2500</v>
      </c>
      <c r="AD24" s="0">
        <v>2</v>
      </c>
      <c r="AE24" s="0">
        <v>10</v>
      </c>
      <c r="AF24" s="0">
        <v>160</v>
      </c>
      <c r="AG24" s="0">
        <v>0</v>
      </c>
      <c r="AH24" s="0">
        <v>0</v>
      </c>
      <c r="AI24" s="0">
        <v>0</v>
      </c>
      <c r="AJ24" s="0">
        <v>5428.6721054031623</v>
      </c>
      <c r="AK24" s="0">
        <v>5428.6721054031623</v>
      </c>
      <c r="AL24" s="0">
        <v>0</v>
      </c>
      <c r="AM24" s="305">
        <v>2500</v>
      </c>
      <c r="AN24" s="305">
        <v>700</v>
      </c>
      <c r="AO24" s="305">
        <v>380</v>
      </c>
      <c r="AP24" s="305">
        <v>380</v>
      </c>
      <c r="AQ24" s="305">
        <v>355</v>
      </c>
      <c r="AR24" s="305">
        <v>-203.45441228243817</v>
      </c>
      <c r="AS24" s="305">
        <v>146.47430816765905</v>
      </c>
      <c r="AT24" s="305">
        <v>1674.4801816202541</v>
      </c>
      <c r="AU24" s="305">
        <v>1205.5198183797459</v>
      </c>
      <c r="AV24" s="305">
        <v>1647.2000635885395</v>
      </c>
      <c r="AW24" s="305">
        <v>1.378571</v>
      </c>
      <c r="AX24" s="305">
        <v>0.030124</v>
      </c>
      <c r="AY24" s="305">
        <v>30.11591</v>
      </c>
      <c r="AZ24" s="305" t="s">
        <v>27</v>
      </c>
      <c r="BA24" s="305">
        <v>1634.4801816202541</v>
      </c>
      <c r="BB24" s="305">
        <v>202.375952</v>
      </c>
      <c r="BC24" s="305">
        <v>-0.851709</v>
      </c>
      <c r="BD24" s="305">
        <v>385.221671</v>
      </c>
      <c r="BE24" s="305">
        <v>10611.541</v>
      </c>
      <c r="BF24" s="305">
        <v>35.28038</v>
      </c>
      <c r="BG24" s="305">
        <v>17738.455</v>
      </c>
      <c r="BH24" s="67">
        <v>380</v>
      </c>
      <c r="BI24" s="0">
        <v>380</v>
      </c>
      <c r="BJ24" s="0" t="s">
        <v>131</v>
      </c>
      <c r="BK24" s="0">
        <v>23.650239285608752</v>
      </c>
      <c r="BL24" s="0">
        <v>127657.96900526235</v>
      </c>
      <c r="BM24" s="0">
        <v>4369.094</v>
      </c>
      <c r="BN24" s="0">
        <v>4676.539</v>
      </c>
      <c r="BO24" s="0">
        <v>15250.214125</v>
      </c>
      <c r="BP24" s="0">
        <v>-2233.4642319375</v>
      </c>
      <c r="BQ24" s="0">
        <v>242237672.38679606</v>
      </c>
      <c r="BR24" s="0">
        <v>242237672.38679606</v>
      </c>
      <c r="BS24" s="0">
        <v>276171816.849445</v>
      </c>
      <c r="BT24" s="0">
        <v>292194124.02817529</v>
      </c>
      <c r="BU24" s="0">
        <v>174395802.36649755</v>
      </c>
      <c r="BV24" s="0">
        <v>174395802.36649755</v>
      </c>
      <c r="BW24" s="0">
        <v>431033723.3003518</v>
      </c>
      <c r="BX24" s="0">
        <v>992522721.47909129</v>
      </c>
      <c r="BY24" s="0">
        <v>250551136.25302339</v>
      </c>
      <c r="BZ24" s="0">
        <v>257954497.22163042</v>
      </c>
      <c r="CA24" s="0">
        <v>718352140.77916825</v>
      </c>
      <c r="CB24" s="0">
        <v>68.158396</v>
      </c>
      <c r="CC24" s="0">
        <v>4.417799</v>
      </c>
      <c r="CD24" s="0">
        <v>2152.2624285</v>
      </c>
      <c r="CE24" s="0">
        <v>-1753.3442129999999</v>
      </c>
      <c r="CF24" s="0">
        <v>655.02299603526535</v>
      </c>
      <c r="CG24" s="0">
        <v>2224.9770039647346</v>
      </c>
      <c r="CH24" s="0">
        <v>-260.056377508627</v>
      </c>
      <c r="CI24" s="0">
        <v>285.59543495580846</v>
      </c>
      <c r="CJ24" s="0">
        <v>118.669592</v>
      </c>
      <c r="CK24" s="0">
        <v>98.901088</v>
      </c>
      <c r="CL24" s="0">
        <v>744.5647818125</v>
      </c>
      <c r="CM24" s="0">
        <v>-353.66566593749997</v>
      </c>
      <c r="CN24" s="305">
        <v>-203.7240696281859</v>
      </c>
      <c r="CO24" s="305">
        <v>217.78277106737158</v>
      </c>
      <c r="CP24" s="305">
        <v>760359908.062046</v>
      </c>
      <c r="CQ24" s="0">
        <v>-172.89984576556333</v>
      </c>
      <c r="CR24" s="0">
        <v>132.99964879025322</v>
      </c>
      <c r="CS24" s="0">
        <v>2.8843169423706816</v>
      </c>
      <c r="CT24" s="0">
        <v>9.79742529310396</v>
      </c>
      <c r="CU24" s="0">
        <v>1319.8720409480259</v>
      </c>
      <c r="CV24" s="0">
        <v>198.718567</v>
      </c>
      <c r="CW24" s="0">
        <v>-108.014401</v>
      </c>
    </row>
    <row r="25">
      <c r="D25" s="0">
        <v>112</v>
      </c>
      <c r="E25" s="0" t="s">
        <v>130</v>
      </c>
      <c r="F25" s="0">
        <v>41350</v>
      </c>
      <c r="G25" s="0">
        <v>0</v>
      </c>
      <c r="H25" s="0">
        <v>2</v>
      </c>
      <c r="I25" s="0">
        <v>600</v>
      </c>
      <c r="J25" s="0">
        <v>40</v>
      </c>
      <c r="K25" s="0">
        <v>1936.3312351792665</v>
      </c>
      <c r="L25" s="0">
        <v>40</v>
      </c>
      <c r="M25" s="0">
        <v>120</v>
      </c>
      <c r="N25" s="0">
        <v>2800</v>
      </c>
      <c r="O25" s="0">
        <v>12</v>
      </c>
      <c r="P25" s="0">
        <v>0.125</v>
      </c>
      <c r="Q25" s="0">
        <v>0</v>
      </c>
      <c r="R25" s="0">
        <v>290</v>
      </c>
      <c r="S25" s="0">
        <v>0</v>
      </c>
      <c r="T25" s="0">
        <v>0</v>
      </c>
      <c r="U25" s="0">
        <v>2400</v>
      </c>
      <c r="V25" s="0">
        <v>2400</v>
      </c>
      <c r="W25" s="0">
        <v>0</v>
      </c>
      <c r="X25" s="0">
        <v>0</v>
      </c>
      <c r="Y25" s="0">
        <v>6100</v>
      </c>
      <c r="Z25" s="0">
        <v>65080</v>
      </c>
      <c r="AA25" s="0">
        <v>5450</v>
      </c>
      <c r="AB25" s="0">
        <v>2</v>
      </c>
      <c r="AC25" s="0">
        <v>2500</v>
      </c>
      <c r="AD25" s="0">
        <v>2</v>
      </c>
      <c r="AE25" s="0">
        <v>10</v>
      </c>
      <c r="AF25" s="0">
        <v>160</v>
      </c>
      <c r="AG25" s="0">
        <v>0</v>
      </c>
      <c r="AH25" s="0">
        <v>0</v>
      </c>
      <c r="AI25" s="0">
        <v>0</v>
      </c>
      <c r="AJ25" s="0">
        <v>5428.6721054031623</v>
      </c>
      <c r="AK25" s="0">
        <v>5428.6721054031623</v>
      </c>
      <c r="AL25" s="0">
        <v>0</v>
      </c>
      <c r="AM25" s="305">
        <v>5000</v>
      </c>
      <c r="AN25" s="305">
        <v>700</v>
      </c>
      <c r="AO25" s="305">
        <v>380</v>
      </c>
      <c r="AP25" s="305">
        <v>380</v>
      </c>
      <c r="AQ25" s="305">
        <v>355</v>
      </c>
      <c r="AR25" s="305">
        <v>-203.45441228243817</v>
      </c>
      <c r="AS25" s="305">
        <v>146.47430816765905</v>
      </c>
      <c r="AT25" s="305">
        <v>1674.4801816202541</v>
      </c>
      <c r="AU25" s="305">
        <v>1205.5198183797459</v>
      </c>
      <c r="AV25" s="305">
        <v>1647.2000635885395</v>
      </c>
      <c r="AW25" s="305">
        <v>6.47076</v>
      </c>
      <c r="AX25" s="305">
        <v>0.048523</v>
      </c>
      <c r="AY25" s="305">
        <v>-69.73701</v>
      </c>
      <c r="AZ25" s="305" t="s">
        <v>27</v>
      </c>
      <c r="BA25" s="305">
        <v>1634.4801816202541</v>
      </c>
      <c r="BB25" s="305">
        <v>217.689127</v>
      </c>
      <c r="BC25" s="305">
        <v>-0.850034</v>
      </c>
      <c r="BD25" s="305">
        <v>383.881786</v>
      </c>
      <c r="BE25" s="305">
        <v>10611.541</v>
      </c>
      <c r="BF25" s="305">
        <v>35.28038</v>
      </c>
      <c r="BG25" s="305">
        <v>17738.455</v>
      </c>
      <c r="BH25" s="67">
        <v>380</v>
      </c>
      <c r="BI25" s="0">
        <v>380</v>
      </c>
      <c r="BJ25" s="0" t="s">
        <v>131</v>
      </c>
      <c r="BK25" s="0">
        <v>23.650239285608752</v>
      </c>
      <c r="BL25" s="0">
        <v>127657.96900526235</v>
      </c>
      <c r="BM25" s="0">
        <v>4369.094</v>
      </c>
      <c r="BN25" s="0">
        <v>4676.539</v>
      </c>
      <c r="BO25" s="0">
        <v>15250.214125</v>
      </c>
      <c r="BP25" s="0">
        <v>-2233.46375425</v>
      </c>
      <c r="BQ25" s="0">
        <v>242237672.38679606</v>
      </c>
      <c r="BR25" s="0">
        <v>242237672.38679606</v>
      </c>
      <c r="BS25" s="0">
        <v>276171816.849445</v>
      </c>
      <c r="BT25" s="0">
        <v>292194124.02817529</v>
      </c>
      <c r="BU25" s="0">
        <v>174395802.36649755</v>
      </c>
      <c r="BV25" s="0">
        <v>174395802.36649755</v>
      </c>
      <c r="BW25" s="0">
        <v>431033723.3003518</v>
      </c>
      <c r="BX25" s="0">
        <v>992522721.47909129</v>
      </c>
      <c r="BY25" s="0">
        <v>250551136.25302339</v>
      </c>
      <c r="BZ25" s="0">
        <v>257954497.22163042</v>
      </c>
      <c r="CA25" s="0">
        <v>718352140.77916825</v>
      </c>
      <c r="CB25" s="0">
        <v>-313.210976</v>
      </c>
      <c r="CC25" s="0">
        <v>-14.223009</v>
      </c>
      <c r="CD25" s="0">
        <v>1362.5138771250001</v>
      </c>
      <c r="CE25" s="0">
        <v>-2536.5248920000004</v>
      </c>
      <c r="CF25" s="0">
        <v>655.02299603526535</v>
      </c>
      <c r="CG25" s="0">
        <v>2224.9770039647346</v>
      </c>
      <c r="CH25" s="0">
        <v>-260.056377508627</v>
      </c>
      <c r="CI25" s="0">
        <v>285.59543495580846</v>
      </c>
      <c r="CJ25" s="0">
        <v>37.265979</v>
      </c>
      <c r="CK25" s="0">
        <v>98.616544</v>
      </c>
      <c r="CL25" s="0">
        <v>581.82486731249992</v>
      </c>
      <c r="CM25" s="0">
        <v>-522.09218868750008</v>
      </c>
      <c r="CN25" s="305">
        <v>-203.7240696281859</v>
      </c>
      <c r="CO25" s="305">
        <v>217.78277106737158</v>
      </c>
      <c r="CP25" s="305">
        <v>760359908.062046</v>
      </c>
      <c r="CQ25" s="0">
        <v>-172.89984576556333</v>
      </c>
      <c r="CR25" s="0">
        <v>132.99964879025322</v>
      </c>
      <c r="CS25" s="0">
        <v>2.884316897031669</v>
      </c>
      <c r="CT25" s="0">
        <v>9.7974251390967559</v>
      </c>
      <c r="CU25" s="0">
        <v>1319.8720409480259</v>
      </c>
      <c r="CV25" s="0">
        <v>155.487381</v>
      </c>
      <c r="CW25" s="0">
        <v>-152.267866</v>
      </c>
    </row>
    <row r="26">
      <c r="D26" s="0">
        <v>112</v>
      </c>
      <c r="E26" s="0" t="s">
        <v>130</v>
      </c>
      <c r="F26" s="0">
        <v>41350</v>
      </c>
      <c r="G26" s="0">
        <v>0</v>
      </c>
      <c r="H26" s="0">
        <v>2</v>
      </c>
      <c r="I26" s="0">
        <v>600</v>
      </c>
      <c r="J26" s="0">
        <v>40</v>
      </c>
      <c r="K26" s="0">
        <v>1936.3312351792665</v>
      </c>
      <c r="L26" s="0">
        <v>40</v>
      </c>
      <c r="M26" s="0">
        <v>120</v>
      </c>
      <c r="N26" s="0">
        <v>2800</v>
      </c>
      <c r="O26" s="0">
        <v>12</v>
      </c>
      <c r="P26" s="0">
        <v>0.125</v>
      </c>
      <c r="Q26" s="0">
        <v>0</v>
      </c>
      <c r="R26" s="0">
        <v>290</v>
      </c>
      <c r="S26" s="0">
        <v>0</v>
      </c>
      <c r="T26" s="0">
        <v>0</v>
      </c>
      <c r="U26" s="0">
        <v>2400</v>
      </c>
      <c r="V26" s="0">
        <v>2400</v>
      </c>
      <c r="W26" s="0">
        <v>0</v>
      </c>
      <c r="X26" s="0">
        <v>0</v>
      </c>
      <c r="Y26" s="0">
        <v>6100</v>
      </c>
      <c r="Z26" s="0">
        <v>65080</v>
      </c>
      <c r="AA26" s="0">
        <v>5450</v>
      </c>
      <c r="AB26" s="0">
        <v>2</v>
      </c>
      <c r="AC26" s="0">
        <v>2500</v>
      </c>
      <c r="AD26" s="0">
        <v>2</v>
      </c>
      <c r="AE26" s="0">
        <v>10</v>
      </c>
      <c r="AF26" s="0">
        <v>160</v>
      </c>
      <c r="AG26" s="0">
        <v>0</v>
      </c>
      <c r="AH26" s="0">
        <v>0</v>
      </c>
      <c r="AI26" s="0">
        <v>0</v>
      </c>
      <c r="AJ26" s="0">
        <v>5428.6721054031623</v>
      </c>
      <c r="AK26" s="0">
        <v>5428.6721054031623</v>
      </c>
      <c r="AL26" s="0">
        <v>0</v>
      </c>
      <c r="AM26" s="305">
        <v>5000</v>
      </c>
      <c r="AN26" s="305">
        <v>700</v>
      </c>
      <c r="AO26" s="305">
        <v>380</v>
      </c>
      <c r="AP26" s="305">
        <v>380</v>
      </c>
      <c r="AQ26" s="305">
        <v>355</v>
      </c>
      <c r="AR26" s="305">
        <v>-176.45197172137657</v>
      </c>
      <c r="AS26" s="305">
        <v>127.0342588924965</v>
      </c>
      <c r="AT26" s="305">
        <v>1674.4801816202541</v>
      </c>
      <c r="AU26" s="305">
        <v>1205.5198183797459</v>
      </c>
      <c r="AV26" s="305">
        <v>1647.2000635885395</v>
      </c>
      <c r="AW26" s="305">
        <v>6.47076</v>
      </c>
      <c r="AX26" s="305">
        <v>0.048523</v>
      </c>
      <c r="AY26" s="305">
        <v>-5.529198</v>
      </c>
      <c r="AZ26" s="305" t="s">
        <v>27</v>
      </c>
      <c r="BA26" s="305">
        <v>1634.4801816202541</v>
      </c>
      <c r="BB26" s="305">
        <v>325.600865</v>
      </c>
      <c r="BC26" s="305">
        <v>-0.850034</v>
      </c>
      <c r="BD26" s="305">
        <v>581.444286</v>
      </c>
      <c r="BE26" s="305">
        <v>9253.316</v>
      </c>
      <c r="BF26" s="305">
        <v>39.53055</v>
      </c>
      <c r="BG26" s="305">
        <v>15325.14</v>
      </c>
      <c r="BH26" s="67">
        <v>380</v>
      </c>
      <c r="BI26" s="0">
        <v>380</v>
      </c>
      <c r="BJ26" s="0" t="s">
        <v>131</v>
      </c>
      <c r="BK26" s="0">
        <v>23.650239285608752</v>
      </c>
      <c r="BL26" s="0">
        <v>127657.96900526235</v>
      </c>
      <c r="BM26" s="0">
        <v>3950.014</v>
      </c>
      <c r="BN26" s="0">
        <v>4055.382</v>
      </c>
      <c r="BO26" s="0">
        <v>14416.533749999999</v>
      </c>
      <c r="BP26" s="0">
        <v>-2571.7508435</v>
      </c>
      <c r="BQ26" s="0">
        <v>242237672.38679606</v>
      </c>
      <c r="BR26" s="0">
        <v>242237672.38679606</v>
      </c>
      <c r="BS26" s="0">
        <v>276171816.849445</v>
      </c>
      <c r="BT26" s="0">
        <v>292194124.02817529</v>
      </c>
      <c r="BU26" s="0">
        <v>174395802.36649755</v>
      </c>
      <c r="BV26" s="0">
        <v>174395802.36649755</v>
      </c>
      <c r="BW26" s="0">
        <v>431033723.3003518</v>
      </c>
      <c r="BX26" s="0">
        <v>992522721.47909129</v>
      </c>
      <c r="BY26" s="0">
        <v>250551136.25302339</v>
      </c>
      <c r="BZ26" s="0">
        <v>257954497.22163042</v>
      </c>
      <c r="CA26" s="0">
        <v>718352140.77916825</v>
      </c>
      <c r="CB26" s="0">
        <v>-50.203476</v>
      </c>
      <c r="CC26" s="0">
        <v>2.426741</v>
      </c>
      <c r="CD26" s="0">
        <v>1850.1454240625</v>
      </c>
      <c r="CE26" s="0">
        <v>-1932.0292131874999</v>
      </c>
      <c r="CF26" s="0">
        <v>655.02299603526535</v>
      </c>
      <c r="CG26" s="0">
        <v>2224.9770039647346</v>
      </c>
      <c r="CH26" s="0">
        <v>-228.16504284236345</v>
      </c>
      <c r="CI26" s="0">
        <v>255.7490949041883</v>
      </c>
      <c r="CJ26" s="0">
        <v>130.365979</v>
      </c>
      <c r="CK26" s="0">
        <v>149.846544</v>
      </c>
      <c r="CL26" s="0">
        <v>749.7108610625</v>
      </c>
      <c r="CM26" s="0">
        <v>-358.502979</v>
      </c>
      <c r="CN26" s="305">
        <v>-178.61681379062298</v>
      </c>
      <c r="CO26" s="305">
        <v>194.75497697652747</v>
      </c>
      <c r="CP26" s="305">
        <v>760359908.062046</v>
      </c>
      <c r="CQ26" s="0">
        <v>-150.32562600363426</v>
      </c>
      <c r="CR26" s="0">
        <v>115.93014823023988</v>
      </c>
      <c r="CS26" s="0">
        <v>2.812908600056482</v>
      </c>
      <c r="CT26" s="0">
        <v>9.554865992893097</v>
      </c>
      <c r="CU26" s="0">
        <v>1319.8720409480259</v>
      </c>
      <c r="CV26" s="0">
        <v>195.044383</v>
      </c>
      <c r="CW26" s="0">
        <v>-109.456841</v>
      </c>
    </row>
    <row r="27">
      <c r="D27" s="0">
        <v>113</v>
      </c>
      <c r="E27" s="0" t="s">
        <v>126</v>
      </c>
      <c r="F27" s="0">
        <v>46350</v>
      </c>
      <c r="G27" s="0">
        <v>0</v>
      </c>
      <c r="H27" s="0">
        <v>2</v>
      </c>
      <c r="I27" s="0">
        <v>500</v>
      </c>
      <c r="J27" s="0">
        <v>36</v>
      </c>
      <c r="K27" s="0">
        <v>1936.3312351792665</v>
      </c>
      <c r="L27" s="0">
        <v>32</v>
      </c>
      <c r="M27" s="0">
        <v>120</v>
      </c>
      <c r="N27" s="0">
        <v>2800</v>
      </c>
      <c r="O27" s="0">
        <v>12</v>
      </c>
      <c r="P27" s="0">
        <v>0.125</v>
      </c>
      <c r="Q27" s="0">
        <v>0</v>
      </c>
      <c r="R27" s="0">
        <v>290</v>
      </c>
      <c r="S27" s="0">
        <v>0</v>
      </c>
      <c r="T27" s="0">
        <v>0</v>
      </c>
      <c r="U27" s="0">
        <v>2400</v>
      </c>
      <c r="V27" s="0">
        <v>2400</v>
      </c>
      <c r="W27" s="0">
        <v>0</v>
      </c>
      <c r="X27" s="0">
        <v>0</v>
      </c>
      <c r="Y27" s="0">
        <v>6100</v>
      </c>
      <c r="Z27" s="0">
        <v>65080</v>
      </c>
      <c r="AA27" s="0">
        <v>5450</v>
      </c>
      <c r="AB27" s="0">
        <v>2</v>
      </c>
      <c r="AC27" s="0">
        <v>2500</v>
      </c>
      <c r="AD27" s="0">
        <v>2</v>
      </c>
      <c r="AE27" s="0">
        <v>16</v>
      </c>
      <c r="AF27" s="0">
        <v>180</v>
      </c>
      <c r="AG27" s="0">
        <v>0</v>
      </c>
      <c r="AH27" s="0">
        <v>0</v>
      </c>
      <c r="AI27" s="0">
        <v>0</v>
      </c>
      <c r="AJ27" s="0">
        <v>5428.6721054031623</v>
      </c>
      <c r="AK27" s="0">
        <v>5428.6721054031623</v>
      </c>
      <c r="AL27" s="0">
        <v>0</v>
      </c>
      <c r="AM27" s="305">
        <v>5000</v>
      </c>
      <c r="AN27" s="305">
        <v>700</v>
      </c>
      <c r="AO27" s="305">
        <v>380</v>
      </c>
      <c r="AP27" s="305">
        <v>380</v>
      </c>
      <c r="AQ27" s="305">
        <v>355</v>
      </c>
      <c r="AR27" s="305">
        <v>-217.76964451107352</v>
      </c>
      <c r="AS27" s="305">
        <v>150.91893463718958</v>
      </c>
      <c r="AT27" s="305">
        <v>1694.0132561215007</v>
      </c>
      <c r="AU27" s="305">
        <v>1173.9867438784993</v>
      </c>
      <c r="AV27" s="305">
        <v>1670.9162776184096</v>
      </c>
      <c r="AW27" s="305">
        <v>6.47076</v>
      </c>
      <c r="AX27" s="305">
        <v>0.048523</v>
      </c>
      <c r="AY27" s="305">
        <v>-5.529198</v>
      </c>
      <c r="AZ27" s="305" t="s">
        <v>27</v>
      </c>
      <c r="BA27" s="305">
        <v>1658.0132561215007</v>
      </c>
      <c r="BB27" s="305">
        <v>325.600865</v>
      </c>
      <c r="BC27" s="305">
        <v>-0.850034</v>
      </c>
      <c r="BD27" s="305">
        <v>581.444286</v>
      </c>
      <c r="BE27" s="305">
        <v>9253.316</v>
      </c>
      <c r="BF27" s="305">
        <v>39.53055</v>
      </c>
      <c r="BG27" s="305">
        <v>15325.14</v>
      </c>
      <c r="BH27" s="67">
        <v>380</v>
      </c>
      <c r="BI27" s="0">
        <v>380</v>
      </c>
      <c r="BJ27" s="0" t="s">
        <v>131</v>
      </c>
      <c r="BK27" s="0">
        <v>15.91496220201344</v>
      </c>
      <c r="BL27" s="0">
        <v>113438.17361055723</v>
      </c>
      <c r="BM27" s="0">
        <v>3950.014</v>
      </c>
      <c r="BN27" s="0">
        <v>4055.382</v>
      </c>
      <c r="BO27" s="0">
        <v>14416.533749999999</v>
      </c>
      <c r="BP27" s="0">
        <v>-2571.7508435</v>
      </c>
      <c r="BQ27" s="0">
        <v>203900744.86993507</v>
      </c>
      <c r="BR27" s="0">
        <v>203900744.86993507</v>
      </c>
      <c r="BS27" s="0">
        <v>240251321.836472</v>
      </c>
      <c r="BT27" s="0">
        <v>255429395.50931633</v>
      </c>
      <c r="BU27" s="0">
        <v>141307496.07728377</v>
      </c>
      <c r="BV27" s="0">
        <v>141307496.07728377</v>
      </c>
      <c r="BW27" s="0">
        <v>395767724.37721729</v>
      </c>
      <c r="BX27" s="0">
        <v>961757117.79442418</v>
      </c>
      <c r="BY27" s="0">
        <v>209614317.1778568</v>
      </c>
      <c r="BZ27" s="0">
        <v>218245749.91108882</v>
      </c>
      <c r="CA27" s="0">
        <v>676328037.86690688</v>
      </c>
      <c r="CB27" s="0">
        <v>-50.203476</v>
      </c>
      <c r="CC27" s="0">
        <v>2.426741</v>
      </c>
      <c r="CD27" s="0">
        <v>1850.1454240625</v>
      </c>
      <c r="CE27" s="0">
        <v>-1932.0292131874999</v>
      </c>
      <c r="CF27" s="0">
        <v>601.85641092287642</v>
      </c>
      <c r="CG27" s="0">
        <v>2266.1435890771236</v>
      </c>
      <c r="CH27" s="0">
        <v>-272.59736725637214</v>
      </c>
      <c r="CI27" s="0">
        <v>298.38272199627636</v>
      </c>
      <c r="CJ27" s="0">
        <v>130.365979</v>
      </c>
      <c r="CK27" s="0">
        <v>149.846544</v>
      </c>
      <c r="CL27" s="0">
        <v>749.7108610625</v>
      </c>
      <c r="CM27" s="0">
        <v>-358.502979</v>
      </c>
      <c r="CN27" s="305">
        <v>-213.92994891370307</v>
      </c>
      <c r="CO27" s="305">
        <v>227.42857372564168</v>
      </c>
      <c r="CP27" s="305">
        <v>718291347.25426841</v>
      </c>
      <c r="CQ27" s="0">
        <v>-184.19635262572464</v>
      </c>
      <c r="CR27" s="0">
        <v>137.17632260030479</v>
      </c>
      <c r="CS27" s="0">
        <v>2.9028906023617953</v>
      </c>
      <c r="CT27" s="0">
        <v>10.930126869043825</v>
      </c>
      <c r="CU27" s="0">
        <v>1319.8720409480259</v>
      </c>
      <c r="CV27" s="0">
        <v>195.044383</v>
      </c>
      <c r="CW27" s="0">
        <v>-109.456841</v>
      </c>
    </row>
    <row r="28">
      <c r="D28" s="0">
        <v>113</v>
      </c>
      <c r="E28" s="0" t="s">
        <v>126</v>
      </c>
      <c r="F28" s="0">
        <v>46350</v>
      </c>
      <c r="G28" s="0">
        <v>0</v>
      </c>
      <c r="H28" s="0">
        <v>2</v>
      </c>
      <c r="I28" s="0">
        <v>500</v>
      </c>
      <c r="J28" s="0">
        <v>36</v>
      </c>
      <c r="K28" s="0">
        <v>1936.3312351792665</v>
      </c>
      <c r="L28" s="0">
        <v>32</v>
      </c>
      <c r="M28" s="0">
        <v>120</v>
      </c>
      <c r="N28" s="0">
        <v>2800</v>
      </c>
      <c r="O28" s="0">
        <v>12</v>
      </c>
      <c r="P28" s="0">
        <v>0.125</v>
      </c>
      <c r="Q28" s="0">
        <v>0</v>
      </c>
      <c r="R28" s="0">
        <v>290</v>
      </c>
      <c r="S28" s="0">
        <v>0</v>
      </c>
      <c r="T28" s="0">
        <v>0</v>
      </c>
      <c r="U28" s="0">
        <v>2400</v>
      </c>
      <c r="V28" s="0">
        <v>2400</v>
      </c>
      <c r="W28" s="0">
        <v>0</v>
      </c>
      <c r="X28" s="0">
        <v>0</v>
      </c>
      <c r="Y28" s="0">
        <v>6100</v>
      </c>
      <c r="Z28" s="0">
        <v>65080</v>
      </c>
      <c r="AA28" s="0">
        <v>5450</v>
      </c>
      <c r="AB28" s="0">
        <v>2</v>
      </c>
      <c r="AC28" s="0">
        <v>2500</v>
      </c>
      <c r="AD28" s="0">
        <v>2</v>
      </c>
      <c r="AE28" s="0">
        <v>16</v>
      </c>
      <c r="AF28" s="0">
        <v>180</v>
      </c>
      <c r="AG28" s="0">
        <v>0</v>
      </c>
      <c r="AH28" s="0">
        <v>0</v>
      </c>
      <c r="AI28" s="0">
        <v>0</v>
      </c>
      <c r="AJ28" s="0">
        <v>5428.6721054031623</v>
      </c>
      <c r="AK28" s="0">
        <v>5428.6721054031623</v>
      </c>
      <c r="AL28" s="0">
        <v>0</v>
      </c>
      <c r="AM28" s="305">
        <v>5000</v>
      </c>
      <c r="AN28" s="305">
        <v>700</v>
      </c>
      <c r="AO28" s="305">
        <v>380</v>
      </c>
      <c r="AP28" s="305">
        <v>380</v>
      </c>
      <c r="AQ28" s="305">
        <v>355</v>
      </c>
      <c r="AR28" s="305">
        <v>-171.23626008323163</v>
      </c>
      <c r="AS28" s="305">
        <v>118.67032249163607</v>
      </c>
      <c r="AT28" s="305">
        <v>1694.0132561215007</v>
      </c>
      <c r="AU28" s="305">
        <v>1173.9867438784993</v>
      </c>
      <c r="AV28" s="305">
        <v>1670.9162776184096</v>
      </c>
      <c r="AW28" s="305">
        <v>6.47076</v>
      </c>
      <c r="AX28" s="305">
        <v>0.048523</v>
      </c>
      <c r="AY28" s="305">
        <v>58.678615</v>
      </c>
      <c r="AZ28" s="305" t="s">
        <v>27</v>
      </c>
      <c r="BA28" s="305">
        <v>1658.0132561215007</v>
      </c>
      <c r="BB28" s="305">
        <v>419.813211</v>
      </c>
      <c r="BC28" s="305">
        <v>-0.850034</v>
      </c>
      <c r="BD28" s="305">
        <v>779.006786</v>
      </c>
      <c r="BE28" s="305">
        <v>7389.78</v>
      </c>
      <c r="BF28" s="305">
        <v>43.78072</v>
      </c>
      <c r="BG28" s="305">
        <v>11924.013</v>
      </c>
      <c r="BH28" s="67">
        <v>380</v>
      </c>
      <c r="BI28" s="0">
        <v>380</v>
      </c>
      <c r="BJ28" s="0" t="s">
        <v>131</v>
      </c>
      <c r="BK28" s="0">
        <v>15.91496220201344</v>
      </c>
      <c r="BL28" s="0">
        <v>113438.17361055723</v>
      </c>
      <c r="BM28" s="0">
        <v>3065.434</v>
      </c>
      <c r="BN28" s="0">
        <v>3178.074</v>
      </c>
      <c r="BO28" s="0">
        <v>12188.34</v>
      </c>
      <c r="BP28" s="0">
        <v>-2913.0497124999997</v>
      </c>
      <c r="BQ28" s="0">
        <v>203900744.86993507</v>
      </c>
      <c r="BR28" s="0">
        <v>203900744.86993507</v>
      </c>
      <c r="BS28" s="0">
        <v>240251321.836472</v>
      </c>
      <c r="BT28" s="0">
        <v>255429395.50931633</v>
      </c>
      <c r="BU28" s="0">
        <v>141307496.07728377</v>
      </c>
      <c r="BV28" s="0">
        <v>141307496.07728377</v>
      </c>
      <c r="BW28" s="0">
        <v>395767724.37721729</v>
      </c>
      <c r="BX28" s="0">
        <v>961757117.79442418</v>
      </c>
      <c r="BY28" s="0">
        <v>209614317.1778568</v>
      </c>
      <c r="BZ28" s="0">
        <v>218245749.91108882</v>
      </c>
      <c r="CA28" s="0">
        <v>676328037.86690688</v>
      </c>
      <c r="CB28" s="0">
        <v>212.804024</v>
      </c>
      <c r="CC28" s="0">
        <v>19.076491</v>
      </c>
      <c r="CD28" s="0">
        <v>2451.5405775</v>
      </c>
      <c r="CE28" s="0">
        <v>-1428.3703876875002</v>
      </c>
      <c r="CF28" s="0">
        <v>601.85641092287642</v>
      </c>
      <c r="CG28" s="0">
        <v>2266.1435890771236</v>
      </c>
      <c r="CH28" s="0">
        <v>-215.77479213290957</v>
      </c>
      <c r="CI28" s="0">
        <v>240.35231683145207</v>
      </c>
      <c r="CJ28" s="0">
        <v>223.465979</v>
      </c>
      <c r="CK28" s="0">
        <v>201.076544</v>
      </c>
      <c r="CL28" s="0">
        <v>946.81287793749993</v>
      </c>
      <c r="CM28" s="0">
        <v>-228.7478689375</v>
      </c>
      <c r="CN28" s="305">
        <v>-169.23958496111888</v>
      </c>
      <c r="CO28" s="305">
        <v>182.95584038087026</v>
      </c>
      <c r="CP28" s="305">
        <v>718291347.25426841</v>
      </c>
      <c r="CQ28" s="0">
        <v>-144.73454619712334</v>
      </c>
      <c r="CR28" s="0">
        <v>107.695538469137</v>
      </c>
      <c r="CS28" s="0">
        <v>2.630901043449152</v>
      </c>
      <c r="CT28" s="0">
        <v>9.9060164931475647</v>
      </c>
      <c r="CU28" s="0">
        <v>1319.8720409480259</v>
      </c>
      <c r="CV28" s="0">
        <v>237.884615</v>
      </c>
      <c r="CW28" s="0">
        <v>-74.051447</v>
      </c>
    </row>
    <row r="29">
      <c r="D29" s="0">
        <v>114</v>
      </c>
      <c r="E29" s="0" t="s">
        <v>130</v>
      </c>
      <c r="F29" s="0">
        <v>51350</v>
      </c>
      <c r="G29" s="0">
        <v>0</v>
      </c>
      <c r="H29" s="0">
        <v>2</v>
      </c>
      <c r="I29" s="0">
        <v>500</v>
      </c>
      <c r="J29" s="0">
        <v>30</v>
      </c>
      <c r="K29" s="0">
        <v>1936.3312351792665</v>
      </c>
      <c r="L29" s="0">
        <v>32</v>
      </c>
      <c r="M29" s="0">
        <v>120</v>
      </c>
      <c r="N29" s="0">
        <v>2800</v>
      </c>
      <c r="O29" s="0">
        <v>12</v>
      </c>
      <c r="P29" s="0">
        <v>0.125</v>
      </c>
      <c r="Q29" s="0">
        <v>0</v>
      </c>
      <c r="R29" s="0">
        <v>290</v>
      </c>
      <c r="S29" s="0">
        <v>0</v>
      </c>
      <c r="T29" s="0">
        <v>0</v>
      </c>
      <c r="U29" s="0">
        <v>2400</v>
      </c>
      <c r="V29" s="0">
        <v>2400</v>
      </c>
      <c r="W29" s="0">
        <v>0</v>
      </c>
      <c r="X29" s="0">
        <v>0</v>
      </c>
      <c r="Y29" s="0">
        <v>6100</v>
      </c>
      <c r="Z29" s="0">
        <v>65080</v>
      </c>
      <c r="AA29" s="0">
        <v>5450</v>
      </c>
      <c r="AB29" s="0">
        <v>2</v>
      </c>
      <c r="AC29" s="0">
        <v>2500</v>
      </c>
      <c r="AD29" s="0">
        <v>2</v>
      </c>
      <c r="AE29" s="0">
        <v>16</v>
      </c>
      <c r="AF29" s="0">
        <v>180</v>
      </c>
      <c r="AG29" s="0">
        <v>0</v>
      </c>
      <c r="AH29" s="0">
        <v>0</v>
      </c>
      <c r="AI29" s="0">
        <v>0</v>
      </c>
      <c r="AJ29" s="0">
        <v>5428.6721054031623</v>
      </c>
      <c r="AK29" s="0">
        <v>5428.6721054031623</v>
      </c>
      <c r="AL29" s="0">
        <v>0</v>
      </c>
      <c r="AM29" s="305">
        <v>5000</v>
      </c>
      <c r="AN29" s="305">
        <v>700</v>
      </c>
      <c r="AO29" s="305">
        <v>380</v>
      </c>
      <c r="AP29" s="305">
        <v>380</v>
      </c>
      <c r="AQ29" s="305">
        <v>355</v>
      </c>
      <c r="AR29" s="305">
        <v>-191.01600347977046</v>
      </c>
      <c r="AS29" s="305">
        <v>121.49542083290974</v>
      </c>
      <c r="AT29" s="305">
        <v>1749.3370143554178</v>
      </c>
      <c r="AU29" s="305">
        <v>1112.6629856445823</v>
      </c>
      <c r="AV29" s="305">
        <v>1732.7172707404327</v>
      </c>
      <c r="AW29" s="305">
        <v>13.109692</v>
      </c>
      <c r="AX29" s="305">
        <v>0.075188</v>
      </c>
      <c r="AY29" s="305">
        <v>-44.1988</v>
      </c>
      <c r="AZ29" s="305" t="s">
        <v>27</v>
      </c>
      <c r="BA29" s="305">
        <v>1719.3370143554178</v>
      </c>
      <c r="BB29" s="305">
        <v>435.371222</v>
      </c>
      <c r="BC29" s="305">
        <v>-0.852937</v>
      </c>
      <c r="BD29" s="305">
        <v>776.463746</v>
      </c>
      <c r="BE29" s="305">
        <v>7389.78</v>
      </c>
      <c r="BF29" s="305">
        <v>43.780719</v>
      </c>
      <c r="BG29" s="305">
        <v>11924.013</v>
      </c>
      <c r="BH29" s="67">
        <v>380</v>
      </c>
      <c r="BI29" s="0">
        <v>380</v>
      </c>
      <c r="BJ29" s="0" t="s">
        <v>131</v>
      </c>
      <c r="BK29" s="0">
        <v>12.91496220201344</v>
      </c>
      <c r="BL29" s="0">
        <v>113405.30749673664</v>
      </c>
      <c r="BM29" s="0">
        <v>3065.435</v>
      </c>
      <c r="BN29" s="0">
        <v>3178.074</v>
      </c>
      <c r="BO29" s="0">
        <v>12188.342</v>
      </c>
      <c r="BP29" s="0">
        <v>-2913.0485865</v>
      </c>
      <c r="BQ29" s="0">
        <v>199159499.04011291</v>
      </c>
      <c r="BR29" s="0">
        <v>199159499.04011291</v>
      </c>
      <c r="BS29" s="0">
        <v>239671603.37360221</v>
      </c>
      <c r="BT29" s="0">
        <v>255410855.92407197</v>
      </c>
      <c r="BU29" s="0">
        <v>126675078.04555537</v>
      </c>
      <c r="BV29" s="0">
        <v>126675078.04555537</v>
      </c>
      <c r="BW29" s="0">
        <v>382236622.72569495</v>
      </c>
      <c r="BX29" s="0">
        <v>954360744.57275271</v>
      </c>
      <c r="BY29" s="0">
        <v>205056900.962769</v>
      </c>
      <c r="BZ29" s="0">
        <v>215069133.88899788</v>
      </c>
      <c r="CA29" s="0">
        <v>667246816.14620328</v>
      </c>
      <c r="CB29" s="0">
        <v>-139.562528</v>
      </c>
      <c r="CC29" s="0">
        <v>2.880198</v>
      </c>
      <c r="CD29" s="0">
        <v>1682.9328081249998</v>
      </c>
      <c r="CE29" s="0">
        <v>-2167.984926</v>
      </c>
      <c r="CF29" s="0">
        <v>604.23460871002044</v>
      </c>
      <c r="CG29" s="0">
        <v>2257.7653912899796</v>
      </c>
      <c r="CH29" s="0">
        <v>-236.50046940786092</v>
      </c>
      <c r="CI29" s="0">
        <v>243.27024113571574</v>
      </c>
      <c r="CJ29" s="0">
        <v>149.662358</v>
      </c>
      <c r="CK29" s="0">
        <v>201.407868</v>
      </c>
      <c r="CL29" s="0">
        <v>792.071328</v>
      </c>
      <c r="CM29" s="0">
        <v>-398.760544625</v>
      </c>
      <c r="CN29" s="305">
        <v>-185.74952300336403</v>
      </c>
      <c r="CO29" s="305">
        <v>185.28329457120657</v>
      </c>
      <c r="CP29" s="305">
        <v>708220683.444924</v>
      </c>
      <c r="CQ29" s="0">
        <v>-160.83253406477178</v>
      </c>
      <c r="CR29" s="0">
        <v>109.98648350413058</v>
      </c>
      <c r="CS29" s="0">
        <v>2.6512906127365463</v>
      </c>
      <c r="CT29" s="0">
        <v>9.90673506846631</v>
      </c>
      <c r="CU29" s="0">
        <v>1319.8720409480259</v>
      </c>
      <c r="CV29" s="0">
        <v>195.208367</v>
      </c>
      <c r="CW29" s="0">
        <v>-124.798397</v>
      </c>
    </row>
    <row r="30">
      <c r="D30" s="0">
        <v>114</v>
      </c>
      <c r="E30" s="0" t="s">
        <v>130</v>
      </c>
      <c r="F30" s="0">
        <v>51350</v>
      </c>
      <c r="G30" s="0">
        <v>0</v>
      </c>
      <c r="H30" s="0">
        <v>2</v>
      </c>
      <c r="I30" s="0">
        <v>500</v>
      </c>
      <c r="J30" s="0">
        <v>30</v>
      </c>
      <c r="K30" s="0">
        <v>1936.3312351792665</v>
      </c>
      <c r="L30" s="0">
        <v>32</v>
      </c>
      <c r="M30" s="0">
        <v>120</v>
      </c>
      <c r="N30" s="0">
        <v>2800</v>
      </c>
      <c r="O30" s="0">
        <v>12</v>
      </c>
      <c r="P30" s="0">
        <v>0.125</v>
      </c>
      <c r="Q30" s="0">
        <v>0</v>
      </c>
      <c r="R30" s="0">
        <v>290</v>
      </c>
      <c r="S30" s="0">
        <v>0</v>
      </c>
      <c r="T30" s="0">
        <v>0</v>
      </c>
      <c r="U30" s="0">
        <v>2400</v>
      </c>
      <c r="V30" s="0">
        <v>2400</v>
      </c>
      <c r="W30" s="0">
        <v>0</v>
      </c>
      <c r="X30" s="0">
        <v>0</v>
      </c>
      <c r="Y30" s="0">
        <v>6100</v>
      </c>
      <c r="Z30" s="0">
        <v>65080</v>
      </c>
      <c r="AA30" s="0">
        <v>5450</v>
      </c>
      <c r="AB30" s="0">
        <v>2</v>
      </c>
      <c r="AC30" s="0">
        <v>2500</v>
      </c>
      <c r="AD30" s="0">
        <v>2</v>
      </c>
      <c r="AE30" s="0">
        <v>16</v>
      </c>
      <c r="AF30" s="0">
        <v>180</v>
      </c>
      <c r="AG30" s="0">
        <v>0</v>
      </c>
      <c r="AH30" s="0">
        <v>0</v>
      </c>
      <c r="AI30" s="0">
        <v>0</v>
      </c>
      <c r="AJ30" s="0">
        <v>5428.6721054031623</v>
      </c>
      <c r="AK30" s="0">
        <v>5428.6721054031623</v>
      </c>
      <c r="AL30" s="0">
        <v>0</v>
      </c>
      <c r="AM30" s="305">
        <v>5000</v>
      </c>
      <c r="AN30" s="305">
        <v>700</v>
      </c>
      <c r="AO30" s="305">
        <v>380</v>
      </c>
      <c r="AP30" s="305">
        <v>380</v>
      </c>
      <c r="AQ30" s="305">
        <v>355</v>
      </c>
      <c r="AR30" s="305">
        <v>-124.15099319571176</v>
      </c>
      <c r="AS30" s="305">
        <v>78.966038920053933</v>
      </c>
      <c r="AT30" s="305">
        <v>1749.3370143554178</v>
      </c>
      <c r="AU30" s="305">
        <v>1112.6629856445823</v>
      </c>
      <c r="AV30" s="305">
        <v>1732.7172707404327</v>
      </c>
      <c r="AW30" s="305">
        <v>13.109692</v>
      </c>
      <c r="AX30" s="305">
        <v>0.075188</v>
      </c>
      <c r="AY30" s="305">
        <v>20.009012</v>
      </c>
      <c r="AZ30" s="305" t="s">
        <v>27</v>
      </c>
      <c r="BA30" s="305">
        <v>1719.3370143554178</v>
      </c>
      <c r="BB30" s="305">
        <v>526.286568</v>
      </c>
      <c r="BC30" s="305">
        <v>-0.852937</v>
      </c>
      <c r="BD30" s="305">
        <v>974.026246</v>
      </c>
      <c r="BE30" s="305">
        <v>4985.636</v>
      </c>
      <c r="BF30" s="305">
        <v>48.045402</v>
      </c>
      <c r="BG30" s="305">
        <v>7547.788</v>
      </c>
      <c r="BH30" s="67">
        <v>380</v>
      </c>
      <c r="BI30" s="0">
        <v>380</v>
      </c>
      <c r="BJ30" s="0" t="s">
        <v>131</v>
      </c>
      <c r="BK30" s="0">
        <v>12.91496220201344</v>
      </c>
      <c r="BL30" s="0">
        <v>113405.30749673664</v>
      </c>
      <c r="BM30" s="0">
        <v>2084.373</v>
      </c>
      <c r="BN30" s="0">
        <v>2042.96</v>
      </c>
      <c r="BO30" s="0">
        <v>9983.081125</v>
      </c>
      <c r="BP30" s="0">
        <v>-3385.5723625</v>
      </c>
      <c r="BQ30" s="0">
        <v>199159499.04011291</v>
      </c>
      <c r="BR30" s="0">
        <v>199159499.04011291</v>
      </c>
      <c r="BS30" s="0">
        <v>239671603.37360221</v>
      </c>
      <c r="BT30" s="0">
        <v>255410855.92407197</v>
      </c>
      <c r="BU30" s="0">
        <v>126675078.04555537</v>
      </c>
      <c r="BV30" s="0">
        <v>126675078.04555537</v>
      </c>
      <c r="BW30" s="0">
        <v>382236622.72569495</v>
      </c>
      <c r="BX30" s="0">
        <v>954360744.57275271</v>
      </c>
      <c r="BY30" s="0">
        <v>205056900.962769</v>
      </c>
      <c r="BZ30" s="0">
        <v>215069133.88899788</v>
      </c>
      <c r="CA30" s="0">
        <v>667246816.14620328</v>
      </c>
      <c r="CB30" s="0">
        <v>123.444972</v>
      </c>
      <c r="CC30" s="0">
        <v>19.529948</v>
      </c>
      <c r="CD30" s="0">
        <v>2206.8265885</v>
      </c>
      <c r="CE30" s="0">
        <v>-1588.858203375</v>
      </c>
      <c r="CF30" s="0">
        <v>604.23460871002044</v>
      </c>
      <c r="CG30" s="0">
        <v>2257.7653912899796</v>
      </c>
      <c r="CH30" s="0">
        <v>-157.81337357078706</v>
      </c>
      <c r="CI30" s="0">
        <v>172.97846985542927</v>
      </c>
      <c r="CJ30" s="0">
        <v>242.762358</v>
      </c>
      <c r="CK30" s="0">
        <v>252.637868</v>
      </c>
      <c r="CL30" s="0">
        <v>973.691138125</v>
      </c>
      <c r="CM30" s="0">
        <v>-256.0936385625</v>
      </c>
      <c r="CN30" s="305">
        <v>-123.7172798177789</v>
      </c>
      <c r="CO30" s="305">
        <v>131.20588585434484</v>
      </c>
      <c r="CP30" s="305">
        <v>708220683.444924</v>
      </c>
      <c r="CQ30" s="0">
        <v>-104.77389056065329</v>
      </c>
      <c r="CR30" s="0">
        <v>71.8696186179997</v>
      </c>
      <c r="CS30" s="0">
        <v>2.4301837108653177</v>
      </c>
      <c r="CT30" s="0">
        <v>9.0805534767068341</v>
      </c>
      <c r="CU30" s="0">
        <v>1319.8720409480259</v>
      </c>
      <c r="CV30" s="0">
        <v>234.686639</v>
      </c>
      <c r="CW30" s="0">
        <v>-82.484016</v>
      </c>
    </row>
    <row r="31">
      <c r="D31" s="0">
        <v>115</v>
      </c>
      <c r="E31" s="0" t="s">
        <v>126</v>
      </c>
      <c r="F31" s="0">
        <v>56350</v>
      </c>
      <c r="G31" s="0">
        <v>0</v>
      </c>
      <c r="H31" s="0">
        <v>2</v>
      </c>
      <c r="I31" s="0">
        <v>500</v>
      </c>
      <c r="J31" s="0">
        <v>30</v>
      </c>
      <c r="K31" s="0">
        <v>1936.3312351792665</v>
      </c>
      <c r="L31" s="0">
        <v>32</v>
      </c>
      <c r="M31" s="0">
        <v>120</v>
      </c>
      <c r="N31" s="0">
        <v>2800</v>
      </c>
      <c r="O31" s="0">
        <v>12</v>
      </c>
      <c r="P31" s="0">
        <v>0.125</v>
      </c>
      <c r="Q31" s="0">
        <v>0</v>
      </c>
      <c r="R31" s="0">
        <v>290</v>
      </c>
      <c r="S31" s="0">
        <v>0</v>
      </c>
      <c r="T31" s="0">
        <v>0</v>
      </c>
      <c r="U31" s="0">
        <v>2400</v>
      </c>
      <c r="V31" s="0">
        <v>2400</v>
      </c>
      <c r="W31" s="0">
        <v>0</v>
      </c>
      <c r="X31" s="0">
        <v>0</v>
      </c>
      <c r="Y31" s="0">
        <v>6100</v>
      </c>
      <c r="Z31" s="0">
        <v>65080</v>
      </c>
      <c r="AA31" s="0">
        <v>5450</v>
      </c>
      <c r="AB31" s="0">
        <v>2</v>
      </c>
      <c r="AC31" s="0">
        <v>2500</v>
      </c>
      <c r="AD31" s="0">
        <v>2</v>
      </c>
      <c r="AE31" s="0">
        <v>16</v>
      </c>
      <c r="AF31" s="0">
        <v>180</v>
      </c>
      <c r="AG31" s="0">
        <v>0</v>
      </c>
      <c r="AH31" s="0">
        <v>0</v>
      </c>
      <c r="AI31" s="0">
        <v>0</v>
      </c>
      <c r="AJ31" s="0">
        <v>5428.6721054031623</v>
      </c>
      <c r="AK31" s="0">
        <v>5428.6721054031623</v>
      </c>
      <c r="AL31" s="0">
        <v>0</v>
      </c>
      <c r="AM31" s="305">
        <v>5000</v>
      </c>
      <c r="AN31" s="305">
        <v>700</v>
      </c>
      <c r="AO31" s="305">
        <v>380</v>
      </c>
      <c r="AP31" s="305">
        <v>380</v>
      </c>
      <c r="AQ31" s="305">
        <v>355</v>
      </c>
      <c r="AR31" s="305">
        <v>-124.15099319571176</v>
      </c>
      <c r="AS31" s="305">
        <v>78.966038920053933</v>
      </c>
      <c r="AT31" s="305">
        <v>1749.3370143554178</v>
      </c>
      <c r="AU31" s="305">
        <v>1112.6629856445823</v>
      </c>
      <c r="AV31" s="305">
        <v>1732.7172707404327</v>
      </c>
      <c r="AW31" s="305">
        <v>13.109692</v>
      </c>
      <c r="AX31" s="305">
        <v>0.075188</v>
      </c>
      <c r="AY31" s="305">
        <v>20.009012</v>
      </c>
      <c r="AZ31" s="305" t="s">
        <v>27</v>
      </c>
      <c r="BA31" s="305">
        <v>1719.3370143554178</v>
      </c>
      <c r="BB31" s="305">
        <v>526.286568</v>
      </c>
      <c r="BC31" s="305">
        <v>-0.852937</v>
      </c>
      <c r="BD31" s="305">
        <v>974.026246</v>
      </c>
      <c r="BE31" s="305">
        <v>4985.636</v>
      </c>
      <c r="BF31" s="305">
        <v>48.045402</v>
      </c>
      <c r="BG31" s="305">
        <v>7547.788</v>
      </c>
      <c r="BH31" s="67">
        <v>380</v>
      </c>
      <c r="BI31" s="0">
        <v>380</v>
      </c>
      <c r="BJ31" s="0" t="s">
        <v>131</v>
      </c>
      <c r="BK31" s="0">
        <v>12.91496220201344</v>
      </c>
      <c r="BL31" s="0">
        <v>113405.30749673664</v>
      </c>
      <c r="BM31" s="0">
        <v>2084.373</v>
      </c>
      <c r="BN31" s="0">
        <v>2042.96</v>
      </c>
      <c r="BO31" s="0">
        <v>9983.081125</v>
      </c>
      <c r="BP31" s="0">
        <v>-3385.5723625</v>
      </c>
      <c r="BQ31" s="0">
        <v>199159499.04011291</v>
      </c>
      <c r="BR31" s="0">
        <v>199159499.04011291</v>
      </c>
      <c r="BS31" s="0">
        <v>239671603.37360221</v>
      </c>
      <c r="BT31" s="0">
        <v>255410855.92407197</v>
      </c>
      <c r="BU31" s="0">
        <v>126675078.04555537</v>
      </c>
      <c r="BV31" s="0">
        <v>126675078.04555537</v>
      </c>
      <c r="BW31" s="0">
        <v>382236622.72569495</v>
      </c>
      <c r="BX31" s="0">
        <v>954360744.57275271</v>
      </c>
      <c r="BY31" s="0">
        <v>205056900.962769</v>
      </c>
      <c r="BZ31" s="0">
        <v>215069133.88899788</v>
      </c>
      <c r="CA31" s="0">
        <v>667246816.14620328</v>
      </c>
      <c r="CB31" s="0">
        <v>123.444972</v>
      </c>
      <c r="CC31" s="0">
        <v>19.529948</v>
      </c>
      <c r="CD31" s="0">
        <v>2206.8265885</v>
      </c>
      <c r="CE31" s="0">
        <v>-1588.858203375</v>
      </c>
      <c r="CF31" s="0">
        <v>604.23460871002044</v>
      </c>
      <c r="CG31" s="0">
        <v>2257.7653912899796</v>
      </c>
      <c r="CH31" s="0">
        <v>-157.81337357078706</v>
      </c>
      <c r="CI31" s="0">
        <v>172.97846985542927</v>
      </c>
      <c r="CJ31" s="0">
        <v>242.762358</v>
      </c>
      <c r="CK31" s="0">
        <v>252.637868</v>
      </c>
      <c r="CL31" s="0">
        <v>973.691138125</v>
      </c>
      <c r="CM31" s="0">
        <v>-256.0936385625</v>
      </c>
      <c r="CN31" s="305">
        <v>-123.7172798177789</v>
      </c>
      <c r="CO31" s="305">
        <v>131.20588585434484</v>
      </c>
      <c r="CP31" s="305">
        <v>708220683.444924</v>
      </c>
      <c r="CQ31" s="0">
        <v>-104.77389056065329</v>
      </c>
      <c r="CR31" s="0">
        <v>71.8696186179997</v>
      </c>
      <c r="CS31" s="0">
        <v>2.4301837108653177</v>
      </c>
      <c r="CT31" s="0">
        <v>9.0805534767068341</v>
      </c>
      <c r="CU31" s="0">
        <v>1319.8720409480259</v>
      </c>
      <c r="CV31" s="0">
        <v>234.686639</v>
      </c>
      <c r="CW31" s="0">
        <v>-82.484016</v>
      </c>
    </row>
    <row r="32">
      <c r="D32" s="0">
        <v>115</v>
      </c>
      <c r="E32" s="0" t="s">
        <v>126</v>
      </c>
      <c r="F32" s="0">
        <v>56350</v>
      </c>
      <c r="G32" s="0">
        <v>0</v>
      </c>
      <c r="H32" s="0">
        <v>2</v>
      </c>
      <c r="I32" s="0">
        <v>500</v>
      </c>
      <c r="J32" s="0">
        <v>30</v>
      </c>
      <c r="K32" s="0">
        <v>1936.3312351792665</v>
      </c>
      <c r="L32" s="0">
        <v>32</v>
      </c>
      <c r="M32" s="0">
        <v>120</v>
      </c>
      <c r="N32" s="0">
        <v>2800</v>
      </c>
      <c r="O32" s="0">
        <v>12</v>
      </c>
      <c r="P32" s="0">
        <v>0.125</v>
      </c>
      <c r="Q32" s="0">
        <v>0</v>
      </c>
      <c r="R32" s="0">
        <v>290</v>
      </c>
      <c r="S32" s="0">
        <v>0</v>
      </c>
      <c r="T32" s="0">
        <v>0</v>
      </c>
      <c r="U32" s="0">
        <v>2400</v>
      </c>
      <c r="V32" s="0">
        <v>2400</v>
      </c>
      <c r="W32" s="0">
        <v>0</v>
      </c>
      <c r="X32" s="0">
        <v>0</v>
      </c>
      <c r="Y32" s="0">
        <v>6100</v>
      </c>
      <c r="Z32" s="0">
        <v>65080</v>
      </c>
      <c r="AA32" s="0">
        <v>5450</v>
      </c>
      <c r="AB32" s="0">
        <v>2</v>
      </c>
      <c r="AC32" s="0">
        <v>2500</v>
      </c>
      <c r="AD32" s="0">
        <v>2</v>
      </c>
      <c r="AE32" s="0">
        <v>16</v>
      </c>
      <c r="AF32" s="0">
        <v>180</v>
      </c>
      <c r="AG32" s="0">
        <v>0</v>
      </c>
      <c r="AH32" s="0">
        <v>0</v>
      </c>
      <c r="AI32" s="0">
        <v>0</v>
      </c>
      <c r="AJ32" s="0">
        <v>5428.6721054031623</v>
      </c>
      <c r="AK32" s="0">
        <v>5428.6721054031623</v>
      </c>
      <c r="AL32" s="0">
        <v>0</v>
      </c>
      <c r="AM32" s="305">
        <v>5000</v>
      </c>
      <c r="AN32" s="305">
        <v>700</v>
      </c>
      <c r="AO32" s="305">
        <v>380</v>
      </c>
      <c r="AP32" s="305">
        <v>380</v>
      </c>
      <c r="AQ32" s="305">
        <v>355</v>
      </c>
      <c r="AR32" s="305">
        <v>-43.05281623184564</v>
      </c>
      <c r="AS32" s="305">
        <v>27.383674303938477</v>
      </c>
      <c r="AT32" s="305">
        <v>1749.3370143554178</v>
      </c>
      <c r="AU32" s="305">
        <v>1112.6629856445823</v>
      </c>
      <c r="AV32" s="305">
        <v>1732.7172707404327</v>
      </c>
      <c r="AW32" s="305">
        <v>13.109692</v>
      </c>
      <c r="AX32" s="305">
        <v>0.075188</v>
      </c>
      <c r="AY32" s="305">
        <v>84.216825</v>
      </c>
      <c r="AZ32" s="305" t="s">
        <v>27</v>
      </c>
      <c r="BA32" s="305">
        <v>1719.3370143554178</v>
      </c>
      <c r="BB32" s="305">
        <v>617.201914</v>
      </c>
      <c r="BC32" s="305">
        <v>-0.852937</v>
      </c>
      <c r="BD32" s="305">
        <v>1171.589</v>
      </c>
      <c r="BE32" s="305">
        <v>2126.915</v>
      </c>
      <c r="BF32" s="305">
        <v>52.310085</v>
      </c>
      <c r="BG32" s="305">
        <v>2183.75</v>
      </c>
      <c r="BH32" s="67">
        <v>380</v>
      </c>
      <c r="BI32" s="0">
        <v>380</v>
      </c>
      <c r="BJ32" s="0" t="s">
        <v>131</v>
      </c>
      <c r="BK32" s="0">
        <v>12.91496220201344</v>
      </c>
      <c r="BL32" s="0">
        <v>113405.30749673664</v>
      </c>
      <c r="BM32" s="0">
        <v>637.811409</v>
      </c>
      <c r="BN32" s="0">
        <v>651.695361</v>
      </c>
      <c r="BO32" s="0">
        <v>6606.3548749999991</v>
      </c>
      <c r="BP32" s="0">
        <v>-3980.6288875</v>
      </c>
      <c r="BQ32" s="0">
        <v>199159499.04011291</v>
      </c>
      <c r="BR32" s="0">
        <v>199159499.04011291</v>
      </c>
      <c r="BS32" s="0">
        <v>239671603.37360221</v>
      </c>
      <c r="BT32" s="0">
        <v>255410855.92407197</v>
      </c>
      <c r="BU32" s="0">
        <v>126675078.04555537</v>
      </c>
      <c r="BV32" s="0">
        <v>126675078.04555537</v>
      </c>
      <c r="BW32" s="0">
        <v>382236622.72569495</v>
      </c>
      <c r="BX32" s="0">
        <v>954360744.57275271</v>
      </c>
      <c r="BY32" s="0">
        <v>205056900.962769</v>
      </c>
      <c r="BZ32" s="0">
        <v>215069133.88899788</v>
      </c>
      <c r="CA32" s="0">
        <v>667246816.14620328</v>
      </c>
      <c r="CB32" s="0">
        <v>386.452472</v>
      </c>
      <c r="CC32" s="0">
        <v>36.179698</v>
      </c>
      <c r="CD32" s="0">
        <v>2866.405451</v>
      </c>
      <c r="CE32" s="0">
        <v>-1123.5888475000002</v>
      </c>
      <c r="CF32" s="0">
        <v>604.23460871002044</v>
      </c>
      <c r="CG32" s="0">
        <v>2257.7653912899796</v>
      </c>
      <c r="CH32" s="0">
        <v>-60.156141360507185</v>
      </c>
      <c r="CI32" s="0">
        <v>81.34691623189687</v>
      </c>
      <c r="CJ32" s="0">
        <v>335.862358</v>
      </c>
      <c r="CK32" s="0">
        <v>303.867868</v>
      </c>
      <c r="CL32" s="0">
        <v>1183.0514159375</v>
      </c>
      <c r="CM32" s="0">
        <v>-146.49473443750003</v>
      </c>
      <c r="CN32" s="305">
        <v>-46.814802970423585</v>
      </c>
      <c r="CO32" s="305">
        <v>60.9125254814099</v>
      </c>
      <c r="CP32" s="305">
        <v>708220683.444924</v>
      </c>
      <c r="CQ32" s="0">
        <v>-36.110882758447573</v>
      </c>
      <c r="CR32" s="0">
        <v>24.568128336712672</v>
      </c>
      <c r="CS32" s="0">
        <v>2.0451518944482423</v>
      </c>
      <c r="CT32" s="0">
        <v>7.6418548369386112</v>
      </c>
      <c r="CU32" s="0">
        <v>1319.8720409480259</v>
      </c>
      <c r="CV32" s="0">
        <v>277.154009</v>
      </c>
      <c r="CW32" s="0">
        <v>-47.81962</v>
      </c>
    </row>
    <row r="33">
      <c r="D33" s="0">
        <v>116</v>
      </c>
      <c r="E33" s="0" t="s">
        <v>130</v>
      </c>
      <c r="F33" s="0">
        <v>61350</v>
      </c>
      <c r="G33" s="0">
        <v>0</v>
      </c>
      <c r="H33" s="0">
        <v>2</v>
      </c>
      <c r="I33" s="0">
        <v>500</v>
      </c>
      <c r="J33" s="0">
        <v>22</v>
      </c>
      <c r="K33" s="0">
        <v>1936.3312351792665</v>
      </c>
      <c r="L33" s="0">
        <v>18</v>
      </c>
      <c r="M33" s="0">
        <v>120</v>
      </c>
      <c r="N33" s="0">
        <v>2800</v>
      </c>
      <c r="O33" s="0">
        <v>12</v>
      </c>
      <c r="P33" s="0">
        <v>0.125</v>
      </c>
      <c r="Q33" s="0">
        <v>0</v>
      </c>
      <c r="R33" s="0">
        <v>290</v>
      </c>
      <c r="S33" s="0">
        <v>0</v>
      </c>
      <c r="T33" s="0">
        <v>0</v>
      </c>
      <c r="U33" s="0">
        <v>2400</v>
      </c>
      <c r="V33" s="0">
        <v>2400</v>
      </c>
      <c r="W33" s="0">
        <v>0</v>
      </c>
      <c r="X33" s="0">
        <v>0</v>
      </c>
      <c r="Y33" s="0">
        <v>6100</v>
      </c>
      <c r="Z33" s="0">
        <v>65080</v>
      </c>
      <c r="AA33" s="0">
        <v>5450</v>
      </c>
      <c r="AB33" s="0">
        <v>2</v>
      </c>
      <c r="AC33" s="0">
        <v>2500</v>
      </c>
      <c r="AD33" s="0">
        <v>2</v>
      </c>
      <c r="AE33" s="0">
        <v>16</v>
      </c>
      <c r="AF33" s="0">
        <v>180</v>
      </c>
      <c r="AG33" s="0">
        <v>0</v>
      </c>
      <c r="AH33" s="0">
        <v>0</v>
      </c>
      <c r="AI33" s="0">
        <v>0</v>
      </c>
      <c r="AJ33" s="0">
        <v>5428.6721054031623</v>
      </c>
      <c r="AK33" s="0">
        <v>5428.6721054031623</v>
      </c>
      <c r="AL33" s="0">
        <v>0</v>
      </c>
      <c r="AM33" s="305">
        <v>5000</v>
      </c>
      <c r="AN33" s="305">
        <v>700</v>
      </c>
      <c r="AO33" s="305">
        <v>380</v>
      </c>
      <c r="AP33" s="305">
        <v>380</v>
      </c>
      <c r="AQ33" s="305">
        <v>355</v>
      </c>
      <c r="AR33" s="305">
        <v>-54.446281216623476</v>
      </c>
      <c r="AS33" s="305">
        <v>41.090966202426429</v>
      </c>
      <c r="AT33" s="305">
        <v>1618.5042256553261</v>
      </c>
      <c r="AU33" s="305">
        <v>1221.4957743446739</v>
      </c>
      <c r="AV33" s="305">
        <v>1608.9285704351287</v>
      </c>
      <c r="AW33" s="305">
        <v>23.620828</v>
      </c>
      <c r="AX33" s="305">
        <v>0.085089</v>
      </c>
      <c r="AY33" s="305">
        <v>4.649524</v>
      </c>
      <c r="AZ33" s="305" t="s">
        <v>27</v>
      </c>
      <c r="BA33" s="305">
        <v>1596.5042256553261</v>
      </c>
      <c r="BB33" s="305">
        <v>633.297067</v>
      </c>
      <c r="BC33" s="305">
        <v>-0.879166</v>
      </c>
      <c r="BD33" s="305">
        <v>1173.556</v>
      </c>
      <c r="BE33" s="305">
        <v>2126.915</v>
      </c>
      <c r="BF33" s="305">
        <v>52.310084</v>
      </c>
      <c r="BG33" s="305">
        <v>2183.75</v>
      </c>
      <c r="BH33" s="67">
        <v>380</v>
      </c>
      <c r="BI33" s="0">
        <v>380</v>
      </c>
      <c r="BJ33" s="0" t="s">
        <v>121</v>
      </c>
      <c r="BK33" s="0">
        <v>268.25357552926693</v>
      </c>
      <c r="BL33" s="0">
        <v>84113.80882200686</v>
      </c>
      <c r="BM33" s="0">
        <v>637.812414</v>
      </c>
      <c r="BN33" s="0">
        <v>651.69541</v>
      </c>
      <c r="BO33" s="0">
        <v>6606.3568125</v>
      </c>
      <c r="BP33" s="0">
        <v>-3980.6276909999997</v>
      </c>
      <c r="BQ33" s="0">
        <v>132723062.00183623</v>
      </c>
      <c r="BR33" s="0">
        <v>132723062.00183623</v>
      </c>
      <c r="BS33" s="0">
        <v>167415262.84523562</v>
      </c>
      <c r="BT33" s="0">
        <v>179515803.71655816</v>
      </c>
      <c r="BU33" s="0">
        <v>100166967.02023566</v>
      </c>
      <c r="BV33" s="0">
        <v>100166967.02023566</v>
      </c>
      <c r="BW33" s="0">
        <v>350773532.25197804</v>
      </c>
      <c r="BX33" s="0">
        <v>944749189.87747228</v>
      </c>
      <c r="BY33" s="0">
        <v>134708125.15449575</v>
      </c>
      <c r="BZ33" s="0">
        <v>144021607.49447203</v>
      </c>
      <c r="CA33" s="0">
        <v>593810968.99205422</v>
      </c>
      <c r="CB33" s="0">
        <v>121.498591</v>
      </c>
      <c r="CC33" s="0">
        <v>26.13592</v>
      </c>
      <c r="CD33" s="0">
        <v>2173.847524375</v>
      </c>
      <c r="CE33" s="0">
        <v>-1690.746723625</v>
      </c>
      <c r="CF33" s="0">
        <v>453.47394560887824</v>
      </c>
      <c r="CG33" s="0">
        <v>2386.5260543911218</v>
      </c>
      <c r="CH33" s="0">
        <v>-72.09285805969148</v>
      </c>
      <c r="CI33" s="0">
        <v>117.93395881482346</v>
      </c>
      <c r="CJ33" s="0">
        <v>284.478921</v>
      </c>
      <c r="CK33" s="0">
        <v>305.555912</v>
      </c>
      <c r="CL33" s="0">
        <v>1048.29613075</v>
      </c>
      <c r="CM33" s="0">
        <v>-279.96648531249997</v>
      </c>
      <c r="CN33" s="305">
        <v>-56.323730931885649</v>
      </c>
      <c r="CO33" s="305">
        <v>88.4164927595526</v>
      </c>
      <c r="CP33" s="305">
        <v>638027946.64809716</v>
      </c>
      <c r="CQ33" s="0">
        <v>-45.3753275399298</v>
      </c>
      <c r="CR33" s="0">
        <v>36.682535603413179</v>
      </c>
      <c r="CS33" s="0">
        <v>2.06595930926719</v>
      </c>
      <c r="CT33" s="0">
        <v>10.872654904700006</v>
      </c>
      <c r="CU33" s="0">
        <v>1319.8720409480259</v>
      </c>
      <c r="CV33" s="0">
        <v>238.528892</v>
      </c>
      <c r="CW33" s="0">
        <v>-98.53609</v>
      </c>
    </row>
    <row r="34">
      <c r="D34" s="0">
        <v>116</v>
      </c>
      <c r="E34" s="0" t="s">
        <v>130</v>
      </c>
      <c r="F34" s="0">
        <v>61350</v>
      </c>
      <c r="G34" s="0">
        <v>0</v>
      </c>
      <c r="H34" s="0">
        <v>2</v>
      </c>
      <c r="I34" s="0">
        <v>500</v>
      </c>
      <c r="J34" s="0">
        <v>22</v>
      </c>
      <c r="K34" s="0">
        <v>1936.3312351792665</v>
      </c>
      <c r="L34" s="0">
        <v>18</v>
      </c>
      <c r="M34" s="0">
        <v>120</v>
      </c>
      <c r="N34" s="0">
        <v>2800</v>
      </c>
      <c r="O34" s="0">
        <v>12</v>
      </c>
      <c r="P34" s="0">
        <v>0.125</v>
      </c>
      <c r="Q34" s="0">
        <v>0</v>
      </c>
      <c r="R34" s="0">
        <v>290</v>
      </c>
      <c r="S34" s="0">
        <v>0</v>
      </c>
      <c r="T34" s="0">
        <v>0</v>
      </c>
      <c r="U34" s="0">
        <v>2400</v>
      </c>
      <c r="V34" s="0">
        <v>2400</v>
      </c>
      <c r="W34" s="0">
        <v>0</v>
      </c>
      <c r="X34" s="0">
        <v>0</v>
      </c>
      <c r="Y34" s="0">
        <v>6100</v>
      </c>
      <c r="Z34" s="0">
        <v>65080</v>
      </c>
      <c r="AA34" s="0">
        <v>5450</v>
      </c>
      <c r="AB34" s="0">
        <v>2</v>
      </c>
      <c r="AC34" s="0">
        <v>2500</v>
      </c>
      <c r="AD34" s="0">
        <v>2</v>
      </c>
      <c r="AE34" s="0">
        <v>16</v>
      </c>
      <c r="AF34" s="0">
        <v>180</v>
      </c>
      <c r="AG34" s="0">
        <v>0</v>
      </c>
      <c r="AH34" s="0">
        <v>0</v>
      </c>
      <c r="AI34" s="0">
        <v>0</v>
      </c>
      <c r="AJ34" s="0">
        <v>5428.6721054031623</v>
      </c>
      <c r="AK34" s="0">
        <v>5428.6721054031623</v>
      </c>
      <c r="AL34" s="0">
        <v>0</v>
      </c>
      <c r="AM34" s="305">
        <v>5000</v>
      </c>
      <c r="AN34" s="305">
        <v>700</v>
      </c>
      <c r="AO34" s="305">
        <v>380</v>
      </c>
      <c r="AP34" s="305">
        <v>380</v>
      </c>
      <c r="AQ34" s="305">
        <v>355</v>
      </c>
      <c r="AR34" s="305">
        <v>28.548425968835648</v>
      </c>
      <c r="AS34" s="305">
        <v>-21.545684671292751</v>
      </c>
      <c r="AT34" s="305">
        <v>1618.5042256553261</v>
      </c>
      <c r="AU34" s="305">
        <v>1221.4957743446739</v>
      </c>
      <c r="AV34" s="305">
        <v>1212.8616414693638</v>
      </c>
      <c r="AW34" s="305">
        <v>23.620828</v>
      </c>
      <c r="AX34" s="305">
        <v>0.085089</v>
      </c>
      <c r="AY34" s="305">
        <v>49.594993</v>
      </c>
      <c r="AZ34" s="305" t="s">
        <v>27</v>
      </c>
      <c r="BA34" s="305">
        <v>1203.4957743446739</v>
      </c>
      <c r="BB34" s="305">
        <v>683.433272</v>
      </c>
      <c r="BC34" s="305">
        <v>-0.879166</v>
      </c>
      <c r="BD34" s="305">
        <v>1311.85</v>
      </c>
      <c r="BE34" s="305">
        <v>-177.363559</v>
      </c>
      <c r="BF34" s="305">
        <v>55.387165</v>
      </c>
      <c r="BG34" s="305">
        <v>-2165.711</v>
      </c>
      <c r="BH34" s="67">
        <v>380</v>
      </c>
      <c r="BI34" s="0">
        <v>380</v>
      </c>
      <c r="BJ34" s="0" t="s">
        <v>114</v>
      </c>
      <c r="BK34" s="0">
        <v>1558.9826716467003</v>
      </c>
      <c r="BL34" s="0">
        <v>56648.111881071811</v>
      </c>
      <c r="BM34" s="0">
        <v>-471.91131</v>
      </c>
      <c r="BN34" s="0">
        <v>-480.507032</v>
      </c>
      <c r="BO34" s="0">
        <v>4974.2563329999994</v>
      </c>
      <c r="BP34" s="0">
        <v>-5169.4481250000008</v>
      </c>
      <c r="BQ34" s="0">
        <v>100166967.02023566</v>
      </c>
      <c r="BR34" s="0">
        <v>100166967.02023566</v>
      </c>
      <c r="BS34" s="0">
        <v>109982763.7234724</v>
      </c>
      <c r="BT34" s="0">
        <v>129742813.58169347</v>
      </c>
      <c r="BU34" s="0">
        <v>132723062.00183623</v>
      </c>
      <c r="BV34" s="0">
        <v>132723062.00183623</v>
      </c>
      <c r="BW34" s="0">
        <v>136245158.61379117</v>
      </c>
      <c r="BX34" s="0">
        <v>142108978.62069091</v>
      </c>
      <c r="BY34" s="0">
        <v>134708125.15449575</v>
      </c>
      <c r="BZ34" s="0">
        <v>144021607.49447203</v>
      </c>
      <c r="CA34" s="0">
        <v>593810968.99205422</v>
      </c>
      <c r="CB34" s="0">
        <v>305.603841</v>
      </c>
      <c r="CC34" s="0">
        <v>37.790745</v>
      </c>
      <c r="CD34" s="0">
        <v>2592.1904045</v>
      </c>
      <c r="CE34" s="0">
        <v>-1336.9345229375</v>
      </c>
      <c r="CF34" s="0">
        <v>1484.5938517201446</v>
      </c>
      <c r="CG34" s="0">
        <v>1355.4061482798554</v>
      </c>
      <c r="CH34" s="0">
        <v>112.18414995489286</v>
      </c>
      <c r="CI34" s="0">
        <v>-96.643437998354131</v>
      </c>
      <c r="CJ34" s="0">
        <v>349.648921</v>
      </c>
      <c r="CK34" s="0">
        <v>341.416912</v>
      </c>
      <c r="CL34" s="0">
        <v>1181.825161625</v>
      </c>
      <c r="CM34" s="0">
        <v>-193.70982387499998</v>
      </c>
      <c r="CN34" s="305">
        <v>83.295400377670688</v>
      </c>
      <c r="CO34" s="305">
        <v>-71.516663357486863</v>
      </c>
      <c r="CP34" s="305">
        <v>113130552.62924513</v>
      </c>
      <c r="CQ34" s="0">
        <v>27.129515929496513</v>
      </c>
      <c r="CR34" s="0">
        <v>-20.700240060500228</v>
      </c>
      <c r="CS34" s="0">
        <v>13.742605087543589</v>
      </c>
      <c r="CT34" s="0">
        <v>12.546738899299896</v>
      </c>
      <c r="CU34" s="0">
        <v>1319.8720409480259</v>
      </c>
      <c r="CV34" s="0">
        <v>265.529815</v>
      </c>
      <c r="CW34" s="0">
        <v>-71.197984</v>
      </c>
    </row>
    <row r="35">
      <c r="D35" s="0">
        <v>117</v>
      </c>
      <c r="E35" s="0" t="s">
        <v>120</v>
      </c>
      <c r="F35" s="0">
        <v>64850</v>
      </c>
      <c r="G35" s="0">
        <v>0</v>
      </c>
      <c r="H35" s="0">
        <v>2</v>
      </c>
      <c r="I35" s="0">
        <v>500</v>
      </c>
      <c r="J35" s="0">
        <v>22</v>
      </c>
      <c r="K35" s="0">
        <v>1936.3312351792665</v>
      </c>
      <c r="L35" s="0">
        <v>18</v>
      </c>
      <c r="M35" s="0">
        <v>120</v>
      </c>
      <c r="N35" s="0">
        <v>2800</v>
      </c>
      <c r="O35" s="0">
        <v>12</v>
      </c>
      <c r="P35" s="0">
        <v>0.125</v>
      </c>
      <c r="Q35" s="0">
        <v>0</v>
      </c>
      <c r="R35" s="0">
        <v>290</v>
      </c>
      <c r="S35" s="0">
        <v>0</v>
      </c>
      <c r="T35" s="0">
        <v>0</v>
      </c>
      <c r="U35" s="0">
        <v>2400</v>
      </c>
      <c r="V35" s="0">
        <v>2400</v>
      </c>
      <c r="W35" s="0">
        <v>0</v>
      </c>
      <c r="X35" s="0">
        <v>0</v>
      </c>
      <c r="Y35" s="0">
        <v>6100</v>
      </c>
      <c r="Z35" s="0">
        <v>65080</v>
      </c>
      <c r="AA35" s="0">
        <v>5450</v>
      </c>
      <c r="AB35" s="0">
        <v>2</v>
      </c>
      <c r="AC35" s="0">
        <v>2500</v>
      </c>
      <c r="AD35" s="0">
        <v>2</v>
      </c>
      <c r="AE35" s="0">
        <v>16</v>
      </c>
      <c r="AF35" s="0">
        <v>180</v>
      </c>
      <c r="AG35" s="0">
        <v>0</v>
      </c>
      <c r="AH35" s="0">
        <v>0</v>
      </c>
      <c r="AI35" s="0">
        <v>0</v>
      </c>
      <c r="AJ35" s="0">
        <v>5428.6721054031623</v>
      </c>
      <c r="AK35" s="0">
        <v>5428.6721054031623</v>
      </c>
      <c r="AL35" s="0">
        <v>0</v>
      </c>
      <c r="AM35" s="305">
        <v>5000</v>
      </c>
      <c r="AN35" s="305">
        <v>700</v>
      </c>
      <c r="AO35" s="305">
        <v>380</v>
      </c>
      <c r="AP35" s="305">
        <v>380</v>
      </c>
      <c r="AQ35" s="305">
        <v>355</v>
      </c>
      <c r="AR35" s="305">
        <v>28.548425968835648</v>
      </c>
      <c r="AS35" s="305">
        <v>-21.545684671292751</v>
      </c>
      <c r="AT35" s="305">
        <v>1618.5042256553261</v>
      </c>
      <c r="AU35" s="305">
        <v>1221.4957743446739</v>
      </c>
      <c r="AV35" s="305">
        <v>1212.8616414693638</v>
      </c>
      <c r="AW35" s="305">
        <v>23.620828</v>
      </c>
      <c r="AX35" s="305">
        <v>0.085089</v>
      </c>
      <c r="AY35" s="305">
        <v>49.594993</v>
      </c>
      <c r="AZ35" s="305" t="s">
        <v>27</v>
      </c>
      <c r="BA35" s="305">
        <v>1203.4957743446739</v>
      </c>
      <c r="BB35" s="305">
        <v>683.433272</v>
      </c>
      <c r="BC35" s="305">
        <v>-0.879166</v>
      </c>
      <c r="BD35" s="305">
        <v>1311.85</v>
      </c>
      <c r="BE35" s="305">
        <v>-177.363559</v>
      </c>
      <c r="BF35" s="305">
        <v>55.387165</v>
      </c>
      <c r="BG35" s="305">
        <v>-2165.711</v>
      </c>
      <c r="BH35" s="67">
        <v>380</v>
      </c>
      <c r="BI35" s="0">
        <v>380</v>
      </c>
      <c r="BJ35" s="0" t="s">
        <v>114</v>
      </c>
      <c r="BK35" s="0">
        <v>1558.9826716467003</v>
      </c>
      <c r="BL35" s="0">
        <v>56648.111881071811</v>
      </c>
      <c r="BM35" s="0">
        <v>-471.91131</v>
      </c>
      <c r="BN35" s="0">
        <v>-480.507032</v>
      </c>
      <c r="BO35" s="0">
        <v>4974.2563329999994</v>
      </c>
      <c r="BP35" s="0">
        <v>-5169.4481250000008</v>
      </c>
      <c r="BQ35" s="0">
        <v>100166967.02023566</v>
      </c>
      <c r="BR35" s="0">
        <v>100166967.02023566</v>
      </c>
      <c r="BS35" s="0">
        <v>109982763.7234724</v>
      </c>
      <c r="BT35" s="0">
        <v>129742813.58169347</v>
      </c>
      <c r="BU35" s="0">
        <v>132723062.00183623</v>
      </c>
      <c r="BV35" s="0">
        <v>132723062.00183623</v>
      </c>
      <c r="BW35" s="0">
        <v>136245158.61379117</v>
      </c>
      <c r="BX35" s="0">
        <v>142108978.62069091</v>
      </c>
      <c r="BY35" s="0">
        <v>134708125.15449575</v>
      </c>
      <c r="BZ35" s="0">
        <v>144021607.49447203</v>
      </c>
      <c r="CA35" s="0">
        <v>593810968.99205422</v>
      </c>
      <c r="CB35" s="0">
        <v>305.603841</v>
      </c>
      <c r="CC35" s="0">
        <v>37.790745</v>
      </c>
      <c r="CD35" s="0">
        <v>2592.1904045</v>
      </c>
      <c r="CE35" s="0">
        <v>-1336.9345229375</v>
      </c>
      <c r="CF35" s="0">
        <v>1484.5938517201446</v>
      </c>
      <c r="CG35" s="0">
        <v>1355.4061482798554</v>
      </c>
      <c r="CH35" s="0">
        <v>112.18414995489286</v>
      </c>
      <c r="CI35" s="0">
        <v>-96.643437998354131</v>
      </c>
      <c r="CJ35" s="0">
        <v>349.648921</v>
      </c>
      <c r="CK35" s="0">
        <v>341.416912</v>
      </c>
      <c r="CL35" s="0">
        <v>1181.825161625</v>
      </c>
      <c r="CM35" s="0">
        <v>-193.70982387499998</v>
      </c>
      <c r="CN35" s="305">
        <v>83.295400377670688</v>
      </c>
      <c r="CO35" s="305">
        <v>-71.516663357486863</v>
      </c>
      <c r="CP35" s="305">
        <v>113130552.62924513</v>
      </c>
      <c r="CQ35" s="0">
        <v>27.129515929496513</v>
      </c>
      <c r="CR35" s="0">
        <v>-20.700240060500228</v>
      </c>
      <c r="CS35" s="0">
        <v>13.742605087543589</v>
      </c>
      <c r="CT35" s="0">
        <v>12.546738899299896</v>
      </c>
      <c r="CU35" s="0">
        <v>1319.8720409480259</v>
      </c>
      <c r="CV35" s="0">
        <v>265.529815</v>
      </c>
      <c r="CW35" s="0">
        <v>-71.197984</v>
      </c>
    </row>
    <row r="36">
      <c r="D36" s="0">
        <v>117</v>
      </c>
      <c r="E36" s="0" t="s">
        <v>120</v>
      </c>
      <c r="F36" s="0">
        <v>64850</v>
      </c>
      <c r="G36" s="0">
        <v>0</v>
      </c>
      <c r="H36" s="0">
        <v>2</v>
      </c>
      <c r="I36" s="0">
        <v>500</v>
      </c>
      <c r="J36" s="0">
        <v>22</v>
      </c>
      <c r="K36" s="0">
        <v>1936.3312351792665</v>
      </c>
      <c r="L36" s="0">
        <v>18</v>
      </c>
      <c r="M36" s="0">
        <v>120</v>
      </c>
      <c r="N36" s="0">
        <v>2800</v>
      </c>
      <c r="O36" s="0">
        <v>12</v>
      </c>
      <c r="P36" s="0">
        <v>0.125</v>
      </c>
      <c r="Q36" s="0">
        <v>0</v>
      </c>
      <c r="R36" s="0">
        <v>290</v>
      </c>
      <c r="S36" s="0">
        <v>0</v>
      </c>
      <c r="T36" s="0">
        <v>0</v>
      </c>
      <c r="U36" s="0">
        <v>2400</v>
      </c>
      <c r="V36" s="0">
        <v>2400</v>
      </c>
      <c r="W36" s="0">
        <v>0</v>
      </c>
      <c r="X36" s="0">
        <v>0</v>
      </c>
      <c r="Y36" s="0">
        <v>6100</v>
      </c>
      <c r="Z36" s="0">
        <v>65080</v>
      </c>
      <c r="AA36" s="0">
        <v>5450</v>
      </c>
      <c r="AB36" s="0">
        <v>2</v>
      </c>
      <c r="AC36" s="0">
        <v>2500</v>
      </c>
      <c r="AD36" s="0">
        <v>2</v>
      </c>
      <c r="AE36" s="0">
        <v>16</v>
      </c>
      <c r="AF36" s="0">
        <v>180</v>
      </c>
      <c r="AG36" s="0">
        <v>0</v>
      </c>
      <c r="AH36" s="0">
        <v>0</v>
      </c>
      <c r="AI36" s="0">
        <v>0</v>
      </c>
      <c r="AJ36" s="0">
        <v>5428.6721054031623</v>
      </c>
      <c r="AK36" s="0">
        <v>5428.6721054031623</v>
      </c>
      <c r="AL36" s="0">
        <v>0</v>
      </c>
      <c r="AM36" s="305">
        <v>5000</v>
      </c>
      <c r="AN36" s="305">
        <v>700</v>
      </c>
      <c r="AO36" s="305">
        <v>380</v>
      </c>
      <c r="AP36" s="305">
        <v>380</v>
      </c>
      <c r="AQ36" s="305">
        <v>355</v>
      </c>
      <c r="AR36" s="305">
        <v>66.637001758788969</v>
      </c>
      <c r="AS36" s="305">
        <v>-50.291383101210052</v>
      </c>
      <c r="AT36" s="305">
        <v>1618.5042256553261</v>
      </c>
      <c r="AU36" s="305">
        <v>1221.4957743446739</v>
      </c>
      <c r="AV36" s="305">
        <v>1212.8616414693638</v>
      </c>
      <c r="AW36" s="305">
        <v>23.620828</v>
      </c>
      <c r="AX36" s="305">
        <v>0.085089</v>
      </c>
      <c r="AY36" s="305">
        <v>68.857337</v>
      </c>
      <c r="AZ36" s="305" t="s">
        <v>27</v>
      </c>
      <c r="BA36" s="305">
        <v>1203.4957743446739</v>
      </c>
      <c r="BB36" s="305">
        <v>704.920217</v>
      </c>
      <c r="BC36" s="305">
        <v>-0.879166</v>
      </c>
      <c r="BD36" s="305">
        <v>1371.119</v>
      </c>
      <c r="BE36" s="305">
        <v>-1218.629</v>
      </c>
      <c r="BF36" s="305">
        <v>56.705914</v>
      </c>
      <c r="BG36" s="305">
        <v>-4177.938</v>
      </c>
      <c r="BH36" s="67">
        <v>380</v>
      </c>
      <c r="BI36" s="0">
        <v>380</v>
      </c>
      <c r="BJ36" s="0" t="s">
        <v>114</v>
      </c>
      <c r="BK36" s="0">
        <v>1558.9826716467003</v>
      </c>
      <c r="BL36" s="0">
        <v>56648.111881071811</v>
      </c>
      <c r="BM36" s="0">
        <v>-1017.332</v>
      </c>
      <c r="BN36" s="0">
        <v>-1004.159</v>
      </c>
      <c r="BO36" s="0">
        <v>4249.9250445</v>
      </c>
      <c r="BP36" s="0">
        <v>-5858.4243125</v>
      </c>
      <c r="BQ36" s="0">
        <v>100166967.02023566</v>
      </c>
      <c r="BR36" s="0">
        <v>100166967.02023566</v>
      </c>
      <c r="BS36" s="0">
        <v>109982763.7234724</v>
      </c>
      <c r="BT36" s="0">
        <v>129742813.58169347</v>
      </c>
      <c r="BU36" s="0">
        <v>132723062.00183623</v>
      </c>
      <c r="BV36" s="0">
        <v>132723062.00183623</v>
      </c>
      <c r="BW36" s="0">
        <v>136245158.61379117</v>
      </c>
      <c r="BX36" s="0">
        <v>142108978.62069091</v>
      </c>
      <c r="BY36" s="0">
        <v>134708125.15449575</v>
      </c>
      <c r="BZ36" s="0">
        <v>144021607.49447203</v>
      </c>
      <c r="CA36" s="0">
        <v>593810968.99205422</v>
      </c>
      <c r="CB36" s="0">
        <v>384.506091</v>
      </c>
      <c r="CC36" s="0">
        <v>42.78567</v>
      </c>
      <c r="CD36" s="0">
        <v>2794.5405955</v>
      </c>
      <c r="CE36" s="0">
        <v>-1199.1272206875</v>
      </c>
      <c r="CF36" s="0">
        <v>1484.5938517201446</v>
      </c>
      <c r="CG36" s="0">
        <v>1355.4061482798554</v>
      </c>
      <c r="CH36" s="0">
        <v>173.17206776919275</v>
      </c>
      <c r="CI36" s="0">
        <v>-144.88515796649983</v>
      </c>
      <c r="CJ36" s="0">
        <v>377.578921</v>
      </c>
      <c r="CK36" s="0">
        <v>356.785912</v>
      </c>
      <c r="CL36" s="0">
        <v>1243.2509188125</v>
      </c>
      <c r="CM36" s="0">
        <v>-160.58670918750002</v>
      </c>
      <c r="CN36" s="305">
        <v>130.39004577576867</v>
      </c>
      <c r="CO36" s="305">
        <v>-108.66259719242554</v>
      </c>
      <c r="CP36" s="305">
        <v>113130552.62924513</v>
      </c>
      <c r="CQ36" s="0">
        <v>62.559523536264614</v>
      </c>
      <c r="CR36" s="0">
        <v>-47.700028684668439</v>
      </c>
      <c r="CS36" s="0">
        <v>12.98959806308528</v>
      </c>
      <c r="CT36" s="0">
        <v>11.859257707412874</v>
      </c>
      <c r="CU36" s="0">
        <v>1319.8720409480259</v>
      </c>
      <c r="CV36" s="0">
        <v>277.528579</v>
      </c>
      <c r="CW36" s="0">
        <v>-59.860001</v>
      </c>
    </row>
    <row r="37">
      <c r="D37" s="0">
        <v>118</v>
      </c>
      <c r="E37" s="0" t="s">
        <v>126</v>
      </c>
      <c r="F37" s="0">
        <v>66350</v>
      </c>
      <c r="G37" s="0">
        <v>0</v>
      </c>
      <c r="H37" s="0">
        <v>2</v>
      </c>
      <c r="I37" s="0">
        <v>600</v>
      </c>
      <c r="J37" s="0">
        <v>26</v>
      </c>
      <c r="K37" s="0">
        <v>1935.3259940866656</v>
      </c>
      <c r="L37" s="0">
        <v>24</v>
      </c>
      <c r="M37" s="0">
        <v>120</v>
      </c>
      <c r="N37" s="0">
        <v>2804</v>
      </c>
      <c r="O37" s="0">
        <v>12</v>
      </c>
      <c r="P37" s="0">
        <v>0.125</v>
      </c>
      <c r="Q37" s="0">
        <v>0</v>
      </c>
      <c r="R37" s="0">
        <v>290</v>
      </c>
      <c r="S37" s="0">
        <v>0</v>
      </c>
      <c r="T37" s="0">
        <v>0</v>
      </c>
      <c r="U37" s="0">
        <v>2400</v>
      </c>
      <c r="V37" s="0">
        <v>2400</v>
      </c>
      <c r="W37" s="0">
        <v>0</v>
      </c>
      <c r="X37" s="0">
        <v>0</v>
      </c>
      <c r="Y37" s="0">
        <v>6100</v>
      </c>
      <c r="Z37" s="0">
        <v>26144</v>
      </c>
      <c r="AA37" s="0">
        <v>5450</v>
      </c>
      <c r="AB37" s="0">
        <v>2</v>
      </c>
      <c r="AC37" s="0">
        <v>2500</v>
      </c>
      <c r="AD37" s="0">
        <v>2</v>
      </c>
      <c r="AE37" s="0">
        <v>16</v>
      </c>
      <c r="AF37" s="0">
        <v>180</v>
      </c>
      <c r="AG37" s="0">
        <v>0</v>
      </c>
      <c r="AH37" s="0">
        <v>0</v>
      </c>
      <c r="AI37" s="0">
        <v>0</v>
      </c>
      <c r="AJ37" s="0">
        <v>5428.6721054031623</v>
      </c>
      <c r="AK37" s="0">
        <v>5428.6721054031623</v>
      </c>
      <c r="AL37" s="0">
        <v>0</v>
      </c>
      <c r="AM37" s="305">
        <v>5000</v>
      </c>
      <c r="AN37" s="305">
        <v>701</v>
      </c>
      <c r="AO37" s="305">
        <v>380</v>
      </c>
      <c r="AP37" s="305">
        <v>380</v>
      </c>
      <c r="AQ37" s="305">
        <v>355</v>
      </c>
      <c r="AR37" s="305">
        <v>52.984572515979565</v>
      </c>
      <c r="AS37" s="305">
        <v>-40.340958251951768</v>
      </c>
      <c r="AT37" s="305">
        <v>1620.3279929543937</v>
      </c>
      <c r="AU37" s="305">
        <v>1233.6720070456063</v>
      </c>
      <c r="AV37" s="305">
        <v>1219.0859389629122</v>
      </c>
      <c r="AW37" s="305">
        <v>23.620828</v>
      </c>
      <c r="AX37" s="305">
        <v>0.085089</v>
      </c>
      <c r="AY37" s="305">
        <v>68.857337</v>
      </c>
      <c r="AZ37" s="305" t="s">
        <v>27</v>
      </c>
      <c r="BA37" s="305">
        <v>1209.6720070456063</v>
      </c>
      <c r="BB37" s="305">
        <v>704.920217</v>
      </c>
      <c r="BC37" s="305">
        <v>-0.879166</v>
      </c>
      <c r="BD37" s="305">
        <v>1371.119</v>
      </c>
      <c r="BE37" s="305">
        <v>-1218.629</v>
      </c>
      <c r="BF37" s="305">
        <v>56.705914</v>
      </c>
      <c r="BG37" s="305">
        <v>-4177.938</v>
      </c>
      <c r="BH37" s="67">
        <v>380</v>
      </c>
      <c r="BI37" s="0">
        <v>380</v>
      </c>
      <c r="BJ37" s="0" t="s">
        <v>114</v>
      </c>
      <c r="BK37" s="0">
        <v>1613.9503881691576</v>
      </c>
      <c r="BL37" s="0">
        <v>67816.70029393665</v>
      </c>
      <c r="BM37" s="0">
        <v>-1017.332</v>
      </c>
      <c r="BN37" s="0">
        <v>-1004.159</v>
      </c>
      <c r="BO37" s="0">
        <v>4249.9250445</v>
      </c>
      <c r="BP37" s="0">
        <v>-5858.4243125</v>
      </c>
      <c r="BQ37" s="0">
        <v>125976789.8568389</v>
      </c>
      <c r="BR37" s="0">
        <v>125976789.8568389</v>
      </c>
      <c r="BS37" s="0">
        <v>136008350.762788</v>
      </c>
      <c r="BT37" s="0">
        <v>156180732.036703</v>
      </c>
      <c r="BU37" s="0">
        <v>165460282.71842206</v>
      </c>
      <c r="BV37" s="0">
        <v>165460282.71842206</v>
      </c>
      <c r="BW37" s="0">
        <v>168598849.87863705</v>
      </c>
      <c r="BX37" s="0">
        <v>173953399.70248187</v>
      </c>
      <c r="BY37" s="0">
        <v>168743029.41514084</v>
      </c>
      <c r="BZ37" s="0">
        <v>177101455.16915357</v>
      </c>
      <c r="CA37" s="0">
        <v>637202834.93885779</v>
      </c>
      <c r="CB37" s="0">
        <v>384.506091</v>
      </c>
      <c r="CC37" s="0">
        <v>42.78567</v>
      </c>
      <c r="CD37" s="0">
        <v>2794.5405955</v>
      </c>
      <c r="CE37" s="0">
        <v>-1199.1272206875</v>
      </c>
      <c r="CF37" s="0">
        <v>1503.8220984163577</v>
      </c>
      <c r="CG37" s="0">
        <v>1350.1779015836423</v>
      </c>
      <c r="CH37" s="0">
        <v>140.92805968055859</v>
      </c>
      <c r="CI37" s="0">
        <v>-117.43799133627925</v>
      </c>
      <c r="CJ37" s="0">
        <v>377.578921</v>
      </c>
      <c r="CK37" s="0">
        <v>356.785912</v>
      </c>
      <c r="CL37" s="0">
        <v>1243.2509188125</v>
      </c>
      <c r="CM37" s="0">
        <v>-160.58670918750002</v>
      </c>
      <c r="CN37" s="305">
        <v>106.01435775869803</v>
      </c>
      <c r="CO37" s="305">
        <v>-88.04427427389254</v>
      </c>
      <c r="CP37" s="305">
        <v>136724307.13294467</v>
      </c>
      <c r="CQ37" s="0">
        <v>49.867581078495462</v>
      </c>
      <c r="CR37" s="0">
        <v>-38.30680539086697</v>
      </c>
      <c r="CS37" s="0">
        <v>10.79074850029482</v>
      </c>
      <c r="CT37" s="0">
        <v>9.6882671041924731</v>
      </c>
      <c r="CU37" s="0">
        <v>1320.0860087373214</v>
      </c>
      <c r="CV37" s="0">
        <v>277.528579</v>
      </c>
      <c r="CW37" s="0">
        <v>-59.860001</v>
      </c>
    </row>
    <row r="38">
      <c r="D38" s="0">
        <v>118</v>
      </c>
      <c r="E38" s="0" t="s">
        <v>126</v>
      </c>
      <c r="F38" s="0">
        <v>66350</v>
      </c>
      <c r="G38" s="0">
        <v>0</v>
      </c>
      <c r="H38" s="0">
        <v>2</v>
      </c>
      <c r="I38" s="0">
        <v>600</v>
      </c>
      <c r="J38" s="0">
        <v>26</v>
      </c>
      <c r="K38" s="0">
        <v>1935.3259940866656</v>
      </c>
      <c r="L38" s="0">
        <v>24</v>
      </c>
      <c r="M38" s="0">
        <v>120</v>
      </c>
      <c r="N38" s="0">
        <v>2804</v>
      </c>
      <c r="O38" s="0">
        <v>12</v>
      </c>
      <c r="P38" s="0">
        <v>0.125</v>
      </c>
      <c r="Q38" s="0">
        <v>0</v>
      </c>
      <c r="R38" s="0">
        <v>290</v>
      </c>
      <c r="S38" s="0">
        <v>0</v>
      </c>
      <c r="T38" s="0">
        <v>0</v>
      </c>
      <c r="U38" s="0">
        <v>2400</v>
      </c>
      <c r="V38" s="0">
        <v>2400</v>
      </c>
      <c r="W38" s="0">
        <v>0</v>
      </c>
      <c r="X38" s="0">
        <v>0</v>
      </c>
      <c r="Y38" s="0">
        <v>6100</v>
      </c>
      <c r="Z38" s="0">
        <v>26144</v>
      </c>
      <c r="AA38" s="0">
        <v>5450</v>
      </c>
      <c r="AB38" s="0">
        <v>2</v>
      </c>
      <c r="AC38" s="0">
        <v>2500</v>
      </c>
      <c r="AD38" s="0">
        <v>2</v>
      </c>
      <c r="AE38" s="0">
        <v>16</v>
      </c>
      <c r="AF38" s="0">
        <v>180</v>
      </c>
      <c r="AG38" s="0">
        <v>0</v>
      </c>
      <c r="AH38" s="0">
        <v>0</v>
      </c>
      <c r="AI38" s="0">
        <v>0</v>
      </c>
      <c r="AJ38" s="0">
        <v>5428.6721054031623</v>
      </c>
      <c r="AK38" s="0">
        <v>5428.6721054031623</v>
      </c>
      <c r="AL38" s="0">
        <v>0</v>
      </c>
      <c r="AM38" s="305">
        <v>5000</v>
      </c>
      <c r="AN38" s="305">
        <v>701</v>
      </c>
      <c r="AO38" s="305">
        <v>380</v>
      </c>
      <c r="AP38" s="305">
        <v>380</v>
      </c>
      <c r="AQ38" s="305">
        <v>355</v>
      </c>
      <c r="AR38" s="305">
        <v>162.90026792491682</v>
      </c>
      <c r="AS38" s="305">
        <v>-124.02766683847298</v>
      </c>
      <c r="AT38" s="305">
        <v>1620.3279929543937</v>
      </c>
      <c r="AU38" s="305">
        <v>1233.6720070456063</v>
      </c>
      <c r="AV38" s="305">
        <v>1219.0859389629122</v>
      </c>
      <c r="AW38" s="305">
        <v>23.620828</v>
      </c>
      <c r="AX38" s="305">
        <v>0.085089</v>
      </c>
      <c r="AY38" s="305">
        <v>133.065149</v>
      </c>
      <c r="AZ38" s="305" t="s">
        <v>27</v>
      </c>
      <c r="BA38" s="305">
        <v>1209.6720070456063</v>
      </c>
      <c r="BB38" s="305">
        <v>788.02276</v>
      </c>
      <c r="BC38" s="305">
        <v>-0.879166</v>
      </c>
      <c r="BD38" s="305">
        <v>1568.681</v>
      </c>
      <c r="BE38" s="305">
        <v>-4950.986</v>
      </c>
      <c r="BF38" s="305">
        <v>61.101744</v>
      </c>
      <c r="BG38" s="305">
        <v>-11527.438</v>
      </c>
      <c r="BH38" s="67">
        <v>380</v>
      </c>
      <c r="BI38" s="0">
        <v>380</v>
      </c>
      <c r="BJ38" s="0" t="s">
        <v>114</v>
      </c>
      <c r="BK38" s="0">
        <v>1613.9503881691576</v>
      </c>
      <c r="BL38" s="0">
        <v>67816.70029393665</v>
      </c>
      <c r="BM38" s="0">
        <v>-3137.977</v>
      </c>
      <c r="BN38" s="0">
        <v>-2916.164</v>
      </c>
      <c r="BO38" s="0">
        <v>2259.7646145000003</v>
      </c>
      <c r="BP38" s="0">
        <v>-8931.695125000002</v>
      </c>
      <c r="BQ38" s="0">
        <v>125976789.8568389</v>
      </c>
      <c r="BR38" s="0">
        <v>125976789.8568389</v>
      </c>
      <c r="BS38" s="0">
        <v>136008350.762788</v>
      </c>
      <c r="BT38" s="0">
        <v>156180732.036703</v>
      </c>
      <c r="BU38" s="0">
        <v>165460282.71842206</v>
      </c>
      <c r="BV38" s="0">
        <v>165460282.71842206</v>
      </c>
      <c r="BW38" s="0">
        <v>168598849.87863705</v>
      </c>
      <c r="BX38" s="0">
        <v>173953399.70248187</v>
      </c>
      <c r="BY38" s="0">
        <v>168743029.41514084</v>
      </c>
      <c r="BZ38" s="0">
        <v>177101455.16915357</v>
      </c>
      <c r="CA38" s="0">
        <v>637202834.93885779</v>
      </c>
      <c r="CB38" s="0">
        <v>647.513591</v>
      </c>
      <c r="CC38" s="0">
        <v>59.43542</v>
      </c>
      <c r="CD38" s="0">
        <v>3539.7640645</v>
      </c>
      <c r="CE38" s="0">
        <v>-830.86811012499993</v>
      </c>
      <c r="CF38" s="0">
        <v>1503.8220984163577</v>
      </c>
      <c r="CG38" s="0">
        <v>1350.1779015836423</v>
      </c>
      <c r="CH38" s="0">
        <v>326.8405582991594</v>
      </c>
      <c r="CI38" s="0">
        <v>-265.65907440414043</v>
      </c>
      <c r="CJ38" s="0">
        <v>470.678921</v>
      </c>
      <c r="CK38" s="0">
        <v>408.015912</v>
      </c>
      <c r="CL38" s="0">
        <v>1462.6752010625</v>
      </c>
      <c r="CM38" s="0">
        <v>-75.568138</v>
      </c>
      <c r="CN38" s="305">
        <v>249.17788531050877</v>
      </c>
      <c r="CO38" s="305">
        <v>-201.87962011690485</v>
      </c>
      <c r="CP38" s="305">
        <v>136724307.13294467</v>
      </c>
      <c r="CQ38" s="0">
        <v>153.39215795516734</v>
      </c>
      <c r="CR38" s="0">
        <v>-117.83422366154076</v>
      </c>
      <c r="CS38" s="0">
        <v>9.43105101245045</v>
      </c>
      <c r="CT38" s="0">
        <v>8.4674887269764874</v>
      </c>
      <c r="CU38" s="0">
        <v>1320.0860087373214</v>
      </c>
      <c r="CV38" s="0">
        <v>318.124019</v>
      </c>
      <c r="CW38" s="0">
        <v>-29.392494</v>
      </c>
    </row>
    <row r="39">
      <c r="D39" s="0">
        <v>119</v>
      </c>
      <c r="E39" s="0" t="s">
        <v>130</v>
      </c>
      <c r="F39" s="0">
        <v>71350</v>
      </c>
      <c r="G39" s="0">
        <v>0</v>
      </c>
      <c r="H39" s="0">
        <v>2</v>
      </c>
      <c r="I39" s="0">
        <v>800</v>
      </c>
      <c r="J39" s="0">
        <v>36</v>
      </c>
      <c r="K39" s="0">
        <v>1917.4550413293136</v>
      </c>
      <c r="L39" s="0">
        <v>28</v>
      </c>
      <c r="M39" s="0">
        <v>120</v>
      </c>
      <c r="N39" s="0">
        <v>2875.1111111111113</v>
      </c>
      <c r="O39" s="0">
        <v>12</v>
      </c>
      <c r="P39" s="0">
        <v>0.125</v>
      </c>
      <c r="Q39" s="0">
        <v>356</v>
      </c>
      <c r="R39" s="0">
        <v>290</v>
      </c>
      <c r="S39" s="0">
        <v>0</v>
      </c>
      <c r="T39" s="0">
        <v>0</v>
      </c>
      <c r="U39" s="0">
        <v>2400</v>
      </c>
      <c r="V39" s="0">
        <v>2400</v>
      </c>
      <c r="W39" s="0">
        <v>0</v>
      </c>
      <c r="X39" s="0">
        <v>0</v>
      </c>
      <c r="Y39" s="0">
        <v>6100</v>
      </c>
      <c r="Z39" s="0">
        <v>26144</v>
      </c>
      <c r="AA39" s="0">
        <v>5450</v>
      </c>
      <c r="AB39" s="0">
        <v>2</v>
      </c>
      <c r="AC39" s="0">
        <v>2500</v>
      </c>
      <c r="AD39" s="0">
        <v>2</v>
      </c>
      <c r="AE39" s="0">
        <v>16</v>
      </c>
      <c r="AF39" s="0">
        <v>180</v>
      </c>
      <c r="AG39" s="0">
        <v>0</v>
      </c>
      <c r="AH39" s="0">
        <v>0</v>
      </c>
      <c r="AI39" s="0">
        <v>0</v>
      </c>
      <c r="AJ39" s="0">
        <v>5428.6721054031623</v>
      </c>
      <c r="AK39" s="0">
        <v>5428.6721054031623</v>
      </c>
      <c r="AL39" s="0">
        <v>0</v>
      </c>
      <c r="AM39" s="305">
        <v>5000</v>
      </c>
      <c r="AN39" s="305">
        <v>718.77777777777783</v>
      </c>
      <c r="AO39" s="305">
        <v>380</v>
      </c>
      <c r="AP39" s="305">
        <v>380</v>
      </c>
      <c r="AQ39" s="305">
        <v>355</v>
      </c>
      <c r="AR39" s="305">
        <v>100.58918354264978</v>
      </c>
      <c r="AS39" s="305">
        <v>-66.284626098191666</v>
      </c>
      <c r="AT39" s="305">
        <v>1938.5472933909996</v>
      </c>
      <c r="AU39" s="305">
        <v>1000.5638177201117</v>
      </c>
      <c r="AV39" s="305">
        <v>1438.728996494744</v>
      </c>
      <c r="AW39" s="305">
        <v>42.814452</v>
      </c>
      <c r="AX39" s="305">
        <v>0.121289</v>
      </c>
      <c r="AY39" s="305">
        <v>111.50383</v>
      </c>
      <c r="AZ39" s="305" t="s">
        <v>27</v>
      </c>
      <c r="BA39" s="305">
        <v>972.56381772011173</v>
      </c>
      <c r="BB39" s="305">
        <v>804.662036</v>
      </c>
      <c r="BC39" s="305">
        <v>-0.918394</v>
      </c>
      <c r="BD39" s="305">
        <v>1579.812</v>
      </c>
      <c r="BE39" s="305">
        <v>-4950.986</v>
      </c>
      <c r="BF39" s="305">
        <v>61.101745</v>
      </c>
      <c r="BG39" s="305">
        <v>-11527.438</v>
      </c>
      <c r="BH39" s="67">
        <v>380</v>
      </c>
      <c r="BI39" s="0">
        <v>380</v>
      </c>
      <c r="BJ39" s="0" t="s">
        <v>114</v>
      </c>
      <c r="BK39" s="0">
        <v>2287.636041605745</v>
      </c>
      <c r="BL39" s="0">
        <v>105810.13022916464</v>
      </c>
      <c r="BM39" s="0">
        <v>-3137.976</v>
      </c>
      <c r="BN39" s="0">
        <v>-2916.164</v>
      </c>
      <c r="BO39" s="0">
        <v>2259.766154</v>
      </c>
      <c r="BP39" s="0">
        <v>-8931.6960625000011</v>
      </c>
      <c r="BQ39" s="0">
        <v>197869290.72811225</v>
      </c>
      <c r="BR39" s="0">
        <v>202292389.17974141</v>
      </c>
      <c r="BS39" s="0">
        <v>212739462.64871359</v>
      </c>
      <c r="BT39" s="0">
        <v>238416404.01136166</v>
      </c>
      <c r="BU39" s="0">
        <v>201658229.44136113</v>
      </c>
      <c r="BV39" s="0">
        <v>271345999.85967833</v>
      </c>
      <c r="BW39" s="0">
        <v>274214124.21332133</v>
      </c>
      <c r="BX39" s="0">
        <v>414267898.21961606</v>
      </c>
      <c r="BY39" s="0">
        <v>412077455.36652529</v>
      </c>
      <c r="BZ39" s="0">
        <v>425361360.14198112</v>
      </c>
      <c r="CA39" s="0">
        <v>710750521.62676811</v>
      </c>
      <c r="CB39" s="0">
        <v>526.467816</v>
      </c>
      <c r="CC39" s="0">
        <v>59.316745</v>
      </c>
      <c r="CD39" s="0">
        <v>3077.722505</v>
      </c>
      <c r="CE39" s="0">
        <v>-1078.059609125</v>
      </c>
      <c r="CF39" s="0">
        <v>1865.4951229438834</v>
      </c>
      <c r="CG39" s="0">
        <v>1073.6159881672279</v>
      </c>
      <c r="CH39" s="0">
        <v>208.55301059450341</v>
      </c>
      <c r="CI39" s="0">
        <v>-152.47819728909423</v>
      </c>
      <c r="CJ39" s="0">
        <v>454.635984</v>
      </c>
      <c r="CK39" s="0">
        <v>411.654581</v>
      </c>
      <c r="CL39" s="0">
        <v>1386.3430289374999</v>
      </c>
      <c r="CM39" s="0">
        <v>-137.38567175</v>
      </c>
      <c r="CN39" s="305">
        <v>158.85611028342092</v>
      </c>
      <c r="CO39" s="305">
        <v>-116.83720601352749</v>
      </c>
      <c r="CP39" s="305">
        <v>214914562.48533228</v>
      </c>
      <c r="CQ39" s="0">
        <v>96.447065146983675</v>
      </c>
      <c r="CR39" s="0">
        <v>-78.174330801546873</v>
      </c>
      <c r="CS39" s="0">
        <v>6.1780510714346955</v>
      </c>
      <c r="CT39" s="0">
        <v>3.5555463664460554</v>
      </c>
      <c r="CU39" s="0">
        <v>1324.277771689149</v>
      </c>
      <c r="CV39" s="0">
        <v>294.199749</v>
      </c>
      <c r="CW39" s="0">
        <v>-59.172993</v>
      </c>
    </row>
    <row r="40">
      <c r="D40" s="0">
        <v>119</v>
      </c>
      <c r="E40" s="0" t="s">
        <v>130</v>
      </c>
      <c r="F40" s="0">
        <v>71350</v>
      </c>
      <c r="G40" s="0">
        <v>0</v>
      </c>
      <c r="H40" s="0">
        <v>2</v>
      </c>
      <c r="I40" s="0">
        <v>800</v>
      </c>
      <c r="J40" s="0">
        <v>36</v>
      </c>
      <c r="K40" s="0">
        <v>1917.4550413293136</v>
      </c>
      <c r="L40" s="0">
        <v>28</v>
      </c>
      <c r="M40" s="0">
        <v>120</v>
      </c>
      <c r="N40" s="0">
        <v>2875.1111111111113</v>
      </c>
      <c r="O40" s="0">
        <v>12</v>
      </c>
      <c r="P40" s="0">
        <v>0.125</v>
      </c>
      <c r="Q40" s="0">
        <v>356</v>
      </c>
      <c r="R40" s="0">
        <v>290</v>
      </c>
      <c r="S40" s="0">
        <v>0</v>
      </c>
      <c r="T40" s="0">
        <v>0</v>
      </c>
      <c r="U40" s="0">
        <v>2400</v>
      </c>
      <c r="V40" s="0">
        <v>2400</v>
      </c>
      <c r="W40" s="0">
        <v>0</v>
      </c>
      <c r="X40" s="0">
        <v>0</v>
      </c>
      <c r="Y40" s="0">
        <v>6100</v>
      </c>
      <c r="Z40" s="0">
        <v>26144</v>
      </c>
      <c r="AA40" s="0">
        <v>5450</v>
      </c>
      <c r="AB40" s="0">
        <v>2</v>
      </c>
      <c r="AC40" s="0">
        <v>2500</v>
      </c>
      <c r="AD40" s="0">
        <v>2</v>
      </c>
      <c r="AE40" s="0">
        <v>16</v>
      </c>
      <c r="AF40" s="0">
        <v>180</v>
      </c>
      <c r="AG40" s="0">
        <v>0</v>
      </c>
      <c r="AH40" s="0">
        <v>0</v>
      </c>
      <c r="AI40" s="0">
        <v>0</v>
      </c>
      <c r="AJ40" s="0">
        <v>5428.6721054031623</v>
      </c>
      <c r="AK40" s="0">
        <v>5428.6721054031623</v>
      </c>
      <c r="AL40" s="0">
        <v>0</v>
      </c>
      <c r="AM40" s="305">
        <v>5000</v>
      </c>
      <c r="AN40" s="305">
        <v>718.77777777777783</v>
      </c>
      <c r="AO40" s="305">
        <v>380</v>
      </c>
      <c r="AP40" s="305">
        <v>380</v>
      </c>
      <c r="AQ40" s="305">
        <v>355</v>
      </c>
      <c r="AR40" s="305">
        <v>138.61694547707887</v>
      </c>
      <c r="AS40" s="305">
        <v>-92.144789775568512</v>
      </c>
      <c r="AT40" s="305">
        <v>1938.5472933909996</v>
      </c>
      <c r="AU40" s="305">
        <v>1000.5638177201117</v>
      </c>
      <c r="AV40" s="305">
        <v>1438.728996494744</v>
      </c>
      <c r="AW40" s="305">
        <v>42.814452</v>
      </c>
      <c r="AX40" s="305">
        <v>0.121289</v>
      </c>
      <c r="AY40" s="305">
        <v>143.607737</v>
      </c>
      <c r="AZ40" s="305" t="s">
        <v>27</v>
      </c>
      <c r="BA40" s="305">
        <v>972.56381772011173</v>
      </c>
      <c r="BB40" s="305">
        <v>855.928744</v>
      </c>
      <c r="BC40" s="305">
        <v>37.400295</v>
      </c>
      <c r="BD40" s="305">
        <v>1678.593</v>
      </c>
      <c r="BE40" s="305">
        <v>-7026.725</v>
      </c>
      <c r="BF40" s="305">
        <v>15.499368</v>
      </c>
      <c r="BG40" s="305">
        <v>-15600.445</v>
      </c>
      <c r="BH40" s="67">
        <v>380</v>
      </c>
      <c r="BI40" s="0">
        <v>380</v>
      </c>
      <c r="BJ40" s="0" t="s">
        <v>114</v>
      </c>
      <c r="BK40" s="0">
        <v>2287.636041605745</v>
      </c>
      <c r="BL40" s="0">
        <v>105810.13022916464</v>
      </c>
      <c r="BM40" s="0">
        <v>-4332.754</v>
      </c>
      <c r="BN40" s="0">
        <v>-3977.319</v>
      </c>
      <c r="BO40" s="0">
        <v>1598.634524</v>
      </c>
      <c r="BP40" s="0">
        <v>-11357.060624999998</v>
      </c>
      <c r="BQ40" s="0">
        <v>197869290.72811225</v>
      </c>
      <c r="BR40" s="0">
        <v>202292389.17974141</v>
      </c>
      <c r="BS40" s="0">
        <v>212739462.64871359</v>
      </c>
      <c r="BT40" s="0">
        <v>238416404.01136166</v>
      </c>
      <c r="BU40" s="0">
        <v>201658229.44136113</v>
      </c>
      <c r="BV40" s="0">
        <v>271345999.85967833</v>
      </c>
      <c r="BW40" s="0">
        <v>274214124.21332133</v>
      </c>
      <c r="BX40" s="0">
        <v>414267898.21961606</v>
      </c>
      <c r="BY40" s="0">
        <v>412077455.36652529</v>
      </c>
      <c r="BZ40" s="0">
        <v>425361360.14198112</v>
      </c>
      <c r="CA40" s="0">
        <v>710750521.62676811</v>
      </c>
      <c r="CB40" s="0">
        <v>657.971566</v>
      </c>
      <c r="CC40" s="0">
        <v>67.64162</v>
      </c>
      <c r="CD40" s="0">
        <v>3461.2490115000005</v>
      </c>
      <c r="CE40" s="0">
        <v>-868.6706266875</v>
      </c>
      <c r="CF40" s="0">
        <v>1865.4951229438834</v>
      </c>
      <c r="CG40" s="0">
        <v>1073.6159881672279</v>
      </c>
      <c r="CH40" s="0">
        <v>279.93531132042006</v>
      </c>
      <c r="CI40" s="0">
        <v>-206.17985846708217</v>
      </c>
      <c r="CJ40" s="0">
        <v>501.185984</v>
      </c>
      <c r="CK40" s="0">
        <v>437.269581</v>
      </c>
      <c r="CL40" s="0">
        <v>1495.6764080625003</v>
      </c>
      <c r="CM40" s="0">
        <v>-90.7636845</v>
      </c>
      <c r="CN40" s="305">
        <v>213.54014766329465</v>
      </c>
      <c r="CO40" s="305">
        <v>-158.20493289003323</v>
      </c>
      <c r="CP40" s="305">
        <v>214914562.48533228</v>
      </c>
      <c r="CQ40" s="0">
        <v>132.91840106712971</v>
      </c>
      <c r="CR40" s="0">
        <v>-108.0612993327827</v>
      </c>
      <c r="CS40" s="0">
        <v>6.745606717662592</v>
      </c>
      <c r="CT40" s="0">
        <v>3.88218180412186</v>
      </c>
      <c r="CU40" s="0">
        <v>1324.277771689149</v>
      </c>
      <c r="CV40" s="0">
        <v>314.527223</v>
      </c>
      <c r="CW40" s="0">
        <v>-39.818841</v>
      </c>
    </row>
    <row r="41">
      <c r="D41" s="0">
        <v>120</v>
      </c>
      <c r="E41" s="0" t="s">
        <v>132</v>
      </c>
      <c r="F41" s="0">
        <v>73850</v>
      </c>
      <c r="G41" s="0">
        <v>0</v>
      </c>
      <c r="H41" s="0">
        <v>2</v>
      </c>
      <c r="I41" s="0">
        <v>800</v>
      </c>
      <c r="J41" s="0">
        <v>36</v>
      </c>
      <c r="K41" s="0">
        <v>1900.142555845629</v>
      </c>
      <c r="L41" s="0">
        <v>28</v>
      </c>
      <c r="M41" s="0">
        <v>120</v>
      </c>
      <c r="N41" s="0">
        <v>2944</v>
      </c>
      <c r="O41" s="0">
        <v>12</v>
      </c>
      <c r="P41" s="0">
        <v>0.125</v>
      </c>
      <c r="Q41" s="0">
        <v>356</v>
      </c>
      <c r="R41" s="0">
        <v>290</v>
      </c>
      <c r="S41" s="0">
        <v>0</v>
      </c>
      <c r="T41" s="0">
        <v>0</v>
      </c>
      <c r="U41" s="0">
        <v>2400</v>
      </c>
      <c r="V41" s="0">
        <v>2400</v>
      </c>
      <c r="W41" s="0">
        <v>0</v>
      </c>
      <c r="X41" s="0">
        <v>0</v>
      </c>
      <c r="Y41" s="0">
        <v>6100</v>
      </c>
      <c r="Z41" s="0">
        <v>26144</v>
      </c>
      <c r="AA41" s="0">
        <v>5450</v>
      </c>
      <c r="AB41" s="0">
        <v>2</v>
      </c>
      <c r="AC41" s="0">
        <v>2500</v>
      </c>
      <c r="AD41" s="0">
        <v>2</v>
      </c>
      <c r="AE41" s="0">
        <v>16</v>
      </c>
      <c r="AF41" s="0">
        <v>180</v>
      </c>
      <c r="AG41" s="0">
        <v>0</v>
      </c>
      <c r="AH41" s="0">
        <v>0</v>
      </c>
      <c r="AI41" s="0">
        <v>0</v>
      </c>
      <c r="AJ41" s="0">
        <v>5428.6721054031623</v>
      </c>
      <c r="AK41" s="0">
        <v>5428.6721054031623</v>
      </c>
      <c r="AL41" s="0">
        <v>0</v>
      </c>
      <c r="AM41" s="305">
        <v>5000</v>
      </c>
      <c r="AN41" s="305">
        <v>736</v>
      </c>
      <c r="AO41" s="305">
        <v>380</v>
      </c>
      <c r="AP41" s="305">
        <v>380</v>
      </c>
      <c r="AQ41" s="305">
        <v>355</v>
      </c>
      <c r="AR41" s="305">
        <v>134.72560127582329</v>
      </c>
      <c r="AS41" s="305">
        <v>-90.201378245507982</v>
      </c>
      <c r="AT41" s="305">
        <v>1978.3882214150556</v>
      </c>
      <c r="AU41" s="305">
        <v>1029.6117785849444</v>
      </c>
      <c r="AV41" s="305">
        <v>1477.0287640796937</v>
      </c>
      <c r="AW41" s="305">
        <v>42.814452</v>
      </c>
      <c r="AX41" s="305">
        <v>0.121289</v>
      </c>
      <c r="AY41" s="305">
        <v>143.607737</v>
      </c>
      <c r="AZ41" s="305" t="s">
        <v>27</v>
      </c>
      <c r="BA41" s="305">
        <v>1001.6117785849444</v>
      </c>
      <c r="BB41" s="305">
        <v>855.928744</v>
      </c>
      <c r="BC41" s="305">
        <v>37.400295</v>
      </c>
      <c r="BD41" s="305">
        <v>1678.593</v>
      </c>
      <c r="BE41" s="305">
        <v>-7026.725</v>
      </c>
      <c r="BF41" s="305">
        <v>15.499368</v>
      </c>
      <c r="BG41" s="305">
        <v>-15600.445</v>
      </c>
      <c r="BH41" s="67">
        <v>380</v>
      </c>
      <c r="BI41" s="0">
        <v>380</v>
      </c>
      <c r="BJ41" s="0" t="s">
        <v>114</v>
      </c>
      <c r="BK41" s="0">
        <v>2300.6782828160854</v>
      </c>
      <c r="BL41" s="0">
        <v>108778.11819590471</v>
      </c>
      <c r="BM41" s="0">
        <v>-4332.754</v>
      </c>
      <c r="BN41" s="0">
        <v>-3977.319</v>
      </c>
      <c r="BO41" s="0">
        <v>1598.634524</v>
      </c>
      <c r="BP41" s="0">
        <v>-11357.060624999998</v>
      </c>
      <c r="BQ41" s="0">
        <v>203267140.62737262</v>
      </c>
      <c r="BR41" s="0">
        <v>208048133.2456528</v>
      </c>
      <c r="BS41" s="0">
        <v>218699986.73550883</v>
      </c>
      <c r="BT41" s="0">
        <v>245201400.16111428</v>
      </c>
      <c r="BU41" s="0">
        <v>206091561.65572175</v>
      </c>
      <c r="BV41" s="0">
        <v>277058209.72968835</v>
      </c>
      <c r="BW41" s="0">
        <v>279967050.219814</v>
      </c>
      <c r="BX41" s="0">
        <v>422847790.63786161</v>
      </c>
      <c r="BY41" s="0">
        <v>420452857.73748124</v>
      </c>
      <c r="BZ41" s="0">
        <v>433850660.04672849</v>
      </c>
      <c r="CA41" s="0">
        <v>729428395.54164243</v>
      </c>
      <c r="CB41" s="0">
        <v>657.971566</v>
      </c>
      <c r="CC41" s="0">
        <v>67.64162</v>
      </c>
      <c r="CD41" s="0">
        <v>3461.2490115000005</v>
      </c>
      <c r="CE41" s="0">
        <v>-868.6706266875</v>
      </c>
      <c r="CF41" s="0">
        <v>1903.9408650693595</v>
      </c>
      <c r="CG41" s="0">
        <v>1104.0591349306405</v>
      </c>
      <c r="CH41" s="0">
        <v>272.26144902577471</v>
      </c>
      <c r="CI41" s="0">
        <v>-201.90908863379519</v>
      </c>
      <c r="CJ41" s="0">
        <v>501.185984</v>
      </c>
      <c r="CK41" s="0">
        <v>437.269581</v>
      </c>
      <c r="CL41" s="0">
        <v>1495.6764080625003</v>
      </c>
      <c r="CM41" s="0">
        <v>-90.7636845</v>
      </c>
      <c r="CN41" s="305">
        <v>207.68750322097361</v>
      </c>
      <c r="CO41" s="305">
        <v>-154.92580333627316</v>
      </c>
      <c r="CP41" s="305">
        <v>221471566.71950042</v>
      </c>
      <c r="CQ41" s="0">
        <v>129.28885836135711</v>
      </c>
      <c r="CR41" s="0">
        <v>-105.80336088484211</v>
      </c>
      <c r="CS41" s="0">
        <v>6.55894825822063</v>
      </c>
      <c r="CT41" s="0">
        <v>3.803409482343401</v>
      </c>
      <c r="CU41" s="0">
        <v>1329.0046822632357</v>
      </c>
      <c r="CV41" s="0">
        <v>314.527223</v>
      </c>
      <c r="CW41" s="0">
        <v>-39.818841</v>
      </c>
    </row>
    <row r="42">
      <c r="D42" s="0">
        <v>120</v>
      </c>
      <c r="E42" s="0" t="s">
        <v>132</v>
      </c>
      <c r="F42" s="0">
        <v>73850</v>
      </c>
      <c r="G42" s="0">
        <v>0</v>
      </c>
      <c r="H42" s="0">
        <v>2</v>
      </c>
      <c r="I42" s="0">
        <v>800</v>
      </c>
      <c r="J42" s="0">
        <v>36</v>
      </c>
      <c r="K42" s="0">
        <v>1900.142555845629</v>
      </c>
      <c r="L42" s="0">
        <v>28</v>
      </c>
      <c r="M42" s="0">
        <v>120</v>
      </c>
      <c r="N42" s="0">
        <v>2944</v>
      </c>
      <c r="O42" s="0">
        <v>12</v>
      </c>
      <c r="P42" s="0">
        <v>0.125</v>
      </c>
      <c r="Q42" s="0">
        <v>356</v>
      </c>
      <c r="R42" s="0">
        <v>290</v>
      </c>
      <c r="S42" s="0">
        <v>0</v>
      </c>
      <c r="T42" s="0">
        <v>0</v>
      </c>
      <c r="U42" s="0">
        <v>2400</v>
      </c>
      <c r="V42" s="0">
        <v>2400</v>
      </c>
      <c r="W42" s="0">
        <v>0</v>
      </c>
      <c r="X42" s="0">
        <v>0</v>
      </c>
      <c r="Y42" s="0">
        <v>6100</v>
      </c>
      <c r="Z42" s="0">
        <v>26144</v>
      </c>
      <c r="AA42" s="0">
        <v>5450</v>
      </c>
      <c r="AB42" s="0">
        <v>2</v>
      </c>
      <c r="AC42" s="0">
        <v>2500</v>
      </c>
      <c r="AD42" s="0">
        <v>2</v>
      </c>
      <c r="AE42" s="0">
        <v>16</v>
      </c>
      <c r="AF42" s="0">
        <v>180</v>
      </c>
      <c r="AG42" s="0">
        <v>0</v>
      </c>
      <c r="AH42" s="0">
        <v>0</v>
      </c>
      <c r="AI42" s="0">
        <v>0</v>
      </c>
      <c r="AJ42" s="0">
        <v>5428.6721054031623</v>
      </c>
      <c r="AK42" s="0">
        <v>5428.6721054031623</v>
      </c>
      <c r="AL42" s="0">
        <v>0</v>
      </c>
      <c r="AM42" s="305">
        <v>5000</v>
      </c>
      <c r="AN42" s="305">
        <v>736</v>
      </c>
      <c r="AO42" s="305">
        <v>380</v>
      </c>
      <c r="AP42" s="305">
        <v>380</v>
      </c>
      <c r="AQ42" s="305">
        <v>355</v>
      </c>
      <c r="AR42" s="305">
        <v>174.51558555673734</v>
      </c>
      <c r="AS42" s="305">
        <v>-117.62801801591237</v>
      </c>
      <c r="AT42" s="305">
        <v>1978.3882214150556</v>
      </c>
      <c r="AU42" s="305">
        <v>1029.6117785849444</v>
      </c>
      <c r="AV42" s="305">
        <v>1477.0287640796937</v>
      </c>
      <c r="AW42" s="305">
        <v>42.814452</v>
      </c>
      <c r="AX42" s="305">
        <v>0.121289</v>
      </c>
      <c r="AY42" s="305">
        <v>175.711643</v>
      </c>
      <c r="AZ42" s="305" t="s">
        <v>27</v>
      </c>
      <c r="BA42" s="305">
        <v>1001.6117785849444</v>
      </c>
      <c r="BB42" s="305">
        <v>907.520092</v>
      </c>
      <c r="BC42" s="305">
        <v>75.333781</v>
      </c>
      <c r="BD42" s="305">
        <v>1777.375</v>
      </c>
      <c r="BE42" s="305">
        <v>-9231.036</v>
      </c>
      <c r="BF42" s="305">
        <v>-125.418227</v>
      </c>
      <c r="BG42" s="305">
        <v>-19920.405</v>
      </c>
      <c r="BH42" s="67">
        <v>380</v>
      </c>
      <c r="BI42" s="0">
        <v>380</v>
      </c>
      <c r="BJ42" s="0" t="s">
        <v>114</v>
      </c>
      <c r="BK42" s="0">
        <v>2300.6782828160854</v>
      </c>
      <c r="BL42" s="0">
        <v>108778.11819590471</v>
      </c>
      <c r="BM42" s="0">
        <v>-5643.906</v>
      </c>
      <c r="BN42" s="0">
        <v>-5102.512</v>
      </c>
      <c r="BO42" s="0">
        <v>1031.3694752499998</v>
      </c>
      <c r="BP42" s="0">
        <v>-14249.1858125</v>
      </c>
      <c r="BQ42" s="0">
        <v>203267140.62737262</v>
      </c>
      <c r="BR42" s="0">
        <v>208048133.2456528</v>
      </c>
      <c r="BS42" s="0">
        <v>218699986.73550883</v>
      </c>
      <c r="BT42" s="0">
        <v>245201400.16111428</v>
      </c>
      <c r="BU42" s="0">
        <v>206091561.65572175</v>
      </c>
      <c r="BV42" s="0">
        <v>277058209.72968835</v>
      </c>
      <c r="BW42" s="0">
        <v>279967050.219814</v>
      </c>
      <c r="BX42" s="0">
        <v>422847790.63786161</v>
      </c>
      <c r="BY42" s="0">
        <v>420452857.73748124</v>
      </c>
      <c r="BZ42" s="0">
        <v>433850660.04672849</v>
      </c>
      <c r="CA42" s="0">
        <v>729428395.54164243</v>
      </c>
      <c r="CB42" s="0">
        <v>789.475316</v>
      </c>
      <c r="CC42" s="0">
        <v>75.966495</v>
      </c>
      <c r="CD42" s="0">
        <v>3887.216913</v>
      </c>
      <c r="CE42" s="0">
        <v>-722.67287775</v>
      </c>
      <c r="CF42" s="0">
        <v>1903.9408650693595</v>
      </c>
      <c r="CG42" s="0">
        <v>1104.0591349306405</v>
      </c>
      <c r="CH42" s="0">
        <v>349.08102280133437</v>
      </c>
      <c r="CI42" s="0">
        <v>-259.81775167244524</v>
      </c>
      <c r="CJ42" s="0">
        <v>547.735984</v>
      </c>
      <c r="CK42" s="0">
        <v>462.884581</v>
      </c>
      <c r="CL42" s="0">
        <v>1613.2071963125</v>
      </c>
      <c r="CM42" s="0">
        <v>-56.636769249999993</v>
      </c>
      <c r="CN42" s="305">
        <v>266.46289355807733</v>
      </c>
      <c r="CO42" s="305">
        <v>-199.49138078005908</v>
      </c>
      <c r="CP42" s="305">
        <v>221471566.71950042</v>
      </c>
      <c r="CQ42" s="0">
        <v>167.58596725708128</v>
      </c>
      <c r="CR42" s="0">
        <v>-137.4583914862757</v>
      </c>
      <c r="CS42" s="0">
        <v>7.5459585947887673</v>
      </c>
      <c r="CT42" s="0">
        <v>4.3757580244391772</v>
      </c>
      <c r="CU42" s="0">
        <v>1329.0046822632357</v>
      </c>
      <c r="CV42" s="0">
        <v>335.754465</v>
      </c>
      <c r="CW42" s="0">
        <v>-25.535455</v>
      </c>
    </row>
    <row r="43">
      <c r="D43" s="0">
        <v>121</v>
      </c>
      <c r="E43" s="0" t="s">
        <v>126</v>
      </c>
      <c r="F43" s="0">
        <v>76350</v>
      </c>
      <c r="G43" s="0">
        <v>0</v>
      </c>
      <c r="H43" s="0">
        <v>1</v>
      </c>
      <c r="I43" s="0">
        <v>2800</v>
      </c>
      <c r="J43" s="0">
        <v>40</v>
      </c>
      <c r="K43" s="0">
        <v>1877.2453976252716</v>
      </c>
      <c r="L43" s="0">
        <v>30</v>
      </c>
      <c r="M43" s="0">
        <v>120</v>
      </c>
      <c r="N43" s="0">
        <v>3035.1111111111113</v>
      </c>
      <c r="O43" s="0">
        <v>14</v>
      </c>
      <c r="P43" s="0">
        <v>0.125</v>
      </c>
      <c r="Q43" s="0">
        <v>512</v>
      </c>
      <c r="R43" s="0">
        <v>290</v>
      </c>
      <c r="S43" s="0">
        <v>0</v>
      </c>
      <c r="T43" s="0">
        <v>0</v>
      </c>
      <c r="U43" s="0">
        <v>2400</v>
      </c>
      <c r="V43" s="0">
        <v>2400</v>
      </c>
      <c r="W43" s="0">
        <v>0</v>
      </c>
      <c r="X43" s="0">
        <v>0</v>
      </c>
      <c r="Y43" s="0">
        <v>6100</v>
      </c>
      <c r="Z43" s="0">
        <v>26144</v>
      </c>
      <c r="AA43" s="0">
        <v>5450</v>
      </c>
      <c r="AB43" s="0">
        <v>2</v>
      </c>
      <c r="AC43" s="0">
        <v>2500</v>
      </c>
      <c r="AD43" s="0">
        <v>2</v>
      </c>
      <c r="AE43" s="0">
        <v>10</v>
      </c>
      <c r="AF43" s="0">
        <v>160</v>
      </c>
      <c r="AG43" s="0">
        <v>0</v>
      </c>
      <c r="AH43" s="0">
        <v>0</v>
      </c>
      <c r="AI43" s="0">
        <v>0</v>
      </c>
      <c r="AJ43" s="0">
        <v>5428.6721054031623</v>
      </c>
      <c r="AK43" s="0">
        <v>5428.6721054031623</v>
      </c>
      <c r="AL43" s="0">
        <v>0</v>
      </c>
      <c r="AM43" s="305">
        <v>5000</v>
      </c>
      <c r="AN43" s="305">
        <v>758.77777777777783</v>
      </c>
      <c r="AO43" s="305">
        <v>380</v>
      </c>
      <c r="AP43" s="305">
        <v>380</v>
      </c>
      <c r="AQ43" s="305">
        <v>355</v>
      </c>
      <c r="AR43" s="305">
        <v>99.166489549006883</v>
      </c>
      <c r="AS43" s="305">
        <v>-95.593538535773661</v>
      </c>
      <c r="AT43" s="305">
        <v>1827.1621457793447</v>
      </c>
      <c r="AU43" s="305">
        <v>1277.9489653317667</v>
      </c>
      <c r="AV43" s="305">
        <v>1847.9470777289444</v>
      </c>
      <c r="AW43" s="305">
        <v>42.814452</v>
      </c>
      <c r="AX43" s="305">
        <v>0.121289</v>
      </c>
      <c r="AY43" s="305">
        <v>175.711643</v>
      </c>
      <c r="AZ43" s="305" t="s">
        <v>27</v>
      </c>
      <c r="BA43" s="305">
        <v>1247.9489653317667</v>
      </c>
      <c r="BB43" s="305">
        <v>907.520092</v>
      </c>
      <c r="BC43" s="305">
        <v>75.333781</v>
      </c>
      <c r="BD43" s="305">
        <v>1777.375</v>
      </c>
      <c r="BE43" s="305">
        <v>-9231.036</v>
      </c>
      <c r="BF43" s="305">
        <v>-125.418227</v>
      </c>
      <c r="BG43" s="305">
        <v>-19920.405</v>
      </c>
      <c r="BH43" s="67">
        <v>380</v>
      </c>
      <c r="BI43" s="0">
        <v>380</v>
      </c>
      <c r="BJ43" s="0" t="s">
        <v>114</v>
      </c>
      <c r="BK43" s="0">
        <v>1599.0145355434538</v>
      </c>
      <c r="BL43" s="0">
        <v>162907.11932153447</v>
      </c>
      <c r="BM43" s="0">
        <v>-5643.906</v>
      </c>
      <c r="BN43" s="0">
        <v>-5102.512</v>
      </c>
      <c r="BO43" s="0">
        <v>1031.3694752499998</v>
      </c>
      <c r="BP43" s="0">
        <v>-14249.1858125</v>
      </c>
      <c r="BQ43" s="0">
        <v>357450914.06257367</v>
      </c>
      <c r="BR43" s="0">
        <v>366533069.27576882</v>
      </c>
      <c r="BS43" s="0">
        <v>377393969.06518173</v>
      </c>
      <c r="BT43" s="0">
        <v>407549575.51013708</v>
      </c>
      <c r="BU43" s="0">
        <v>238105506.60638872</v>
      </c>
      <c r="BV43" s="0">
        <v>342926178.33118349</v>
      </c>
      <c r="BW43" s="0">
        <v>344686863.81323624</v>
      </c>
      <c r="BX43" s="0">
        <v>545440849.02730119</v>
      </c>
      <c r="BY43" s="0">
        <v>548671326.244898</v>
      </c>
      <c r="BZ43" s="0">
        <v>558048202.07012165</v>
      </c>
      <c r="CA43" s="0">
        <v>841220657.88158512</v>
      </c>
      <c r="CB43" s="0">
        <v>789.475316</v>
      </c>
      <c r="CC43" s="0">
        <v>75.966495</v>
      </c>
      <c r="CD43" s="0">
        <v>3887.216913</v>
      </c>
      <c r="CE43" s="0">
        <v>-722.67287775</v>
      </c>
      <c r="CF43" s="0">
        <v>1777.1998512898131</v>
      </c>
      <c r="CG43" s="0">
        <v>1327.9112598212982</v>
      </c>
      <c r="CH43" s="0">
        <v>202.56238368903513</v>
      </c>
      <c r="CI43" s="0">
        <v>-211.42711703053402</v>
      </c>
      <c r="CJ43" s="0">
        <v>547.735984</v>
      </c>
      <c r="CK43" s="0">
        <v>462.884581</v>
      </c>
      <c r="CL43" s="0">
        <v>1613.2071963125</v>
      </c>
      <c r="CM43" s="0">
        <v>-56.636769249999993</v>
      </c>
      <c r="CN43" s="305">
        <v>154.45099951636513</v>
      </c>
      <c r="CO43" s="305">
        <v>-162.52364556941981</v>
      </c>
      <c r="CP43" s="305">
        <v>366324650.75159281</v>
      </c>
      <c r="CQ43" s="0">
        <v>95.478618169845163</v>
      </c>
      <c r="CR43" s="0">
        <v>-113.75890731216069</v>
      </c>
      <c r="CS43" s="0">
        <v>4.5400111402004821</v>
      </c>
      <c r="CT43" s="0">
        <v>3.3922644706564453</v>
      </c>
      <c r="CU43" s="0">
        <v>2121.814859965777</v>
      </c>
      <c r="CV43" s="0">
        <v>335.754465</v>
      </c>
      <c r="CW43" s="0">
        <v>-25.535455</v>
      </c>
    </row>
    <row r="44">
      <c r="D44" s="0">
        <v>121</v>
      </c>
      <c r="E44" s="0" t="s">
        <v>126</v>
      </c>
      <c r="F44" s="0">
        <v>76350</v>
      </c>
      <c r="G44" s="0">
        <v>0</v>
      </c>
      <c r="H44" s="0">
        <v>1</v>
      </c>
      <c r="I44" s="0">
        <v>2800</v>
      </c>
      <c r="J44" s="0">
        <v>40</v>
      </c>
      <c r="K44" s="0">
        <v>1877.2453976252716</v>
      </c>
      <c r="L44" s="0">
        <v>30</v>
      </c>
      <c r="M44" s="0">
        <v>120</v>
      </c>
      <c r="N44" s="0">
        <v>3035.1111111111113</v>
      </c>
      <c r="O44" s="0">
        <v>14</v>
      </c>
      <c r="P44" s="0">
        <v>0.125</v>
      </c>
      <c r="Q44" s="0">
        <v>512</v>
      </c>
      <c r="R44" s="0">
        <v>290</v>
      </c>
      <c r="S44" s="0">
        <v>0</v>
      </c>
      <c r="T44" s="0">
        <v>0</v>
      </c>
      <c r="U44" s="0">
        <v>2400</v>
      </c>
      <c r="V44" s="0">
        <v>2400</v>
      </c>
      <c r="W44" s="0">
        <v>0</v>
      </c>
      <c r="X44" s="0">
        <v>0</v>
      </c>
      <c r="Y44" s="0">
        <v>6100</v>
      </c>
      <c r="Z44" s="0">
        <v>26144</v>
      </c>
      <c r="AA44" s="0">
        <v>5450</v>
      </c>
      <c r="AB44" s="0">
        <v>2</v>
      </c>
      <c r="AC44" s="0">
        <v>2500</v>
      </c>
      <c r="AD44" s="0">
        <v>2</v>
      </c>
      <c r="AE44" s="0">
        <v>10</v>
      </c>
      <c r="AF44" s="0">
        <v>160</v>
      </c>
      <c r="AG44" s="0">
        <v>0</v>
      </c>
      <c r="AH44" s="0">
        <v>0</v>
      </c>
      <c r="AI44" s="0">
        <v>0</v>
      </c>
      <c r="AJ44" s="0">
        <v>5428.6721054031623</v>
      </c>
      <c r="AK44" s="0">
        <v>5428.6721054031623</v>
      </c>
      <c r="AL44" s="0">
        <v>0</v>
      </c>
      <c r="AM44" s="305">
        <v>5000</v>
      </c>
      <c r="AN44" s="305">
        <v>758.77777777777783</v>
      </c>
      <c r="AO44" s="305">
        <v>380</v>
      </c>
      <c r="AP44" s="305">
        <v>380</v>
      </c>
      <c r="AQ44" s="305">
        <v>355</v>
      </c>
      <c r="AR44" s="305">
        <v>116.02623028345175</v>
      </c>
      <c r="AS44" s="305">
        <v>-112.42312330138509</v>
      </c>
      <c r="AT44" s="305">
        <v>1827.1621457793447</v>
      </c>
      <c r="AU44" s="305">
        <v>1277.9489653317667</v>
      </c>
      <c r="AV44" s="305">
        <v>1847.9470777289444</v>
      </c>
      <c r="AW44" s="305">
        <v>42.814452</v>
      </c>
      <c r="AX44" s="305">
        <v>0.121289</v>
      </c>
      <c r="AY44" s="305">
        <v>198.184377</v>
      </c>
      <c r="AZ44" s="305" t="s">
        <v>27</v>
      </c>
      <c r="BA44" s="305">
        <v>1247.9489653317667</v>
      </c>
      <c r="BB44" s="305">
        <v>956.980073</v>
      </c>
      <c r="BC44" s="305">
        <v>113.449192</v>
      </c>
      <c r="BD44" s="305">
        <v>1846.521</v>
      </c>
      <c r="BE44" s="305">
        <v>-10862.473</v>
      </c>
      <c r="BF44" s="305">
        <v>-290.603329</v>
      </c>
      <c r="BG44" s="305">
        <v>-23091.314</v>
      </c>
      <c r="BH44" s="67">
        <v>380</v>
      </c>
      <c r="BI44" s="0">
        <v>380</v>
      </c>
      <c r="BJ44" s="0" t="s">
        <v>114</v>
      </c>
      <c r="BK44" s="0">
        <v>1599.0145355434538</v>
      </c>
      <c r="BL44" s="0">
        <v>162907.11932153447</v>
      </c>
      <c r="BM44" s="0">
        <v>-6630.956</v>
      </c>
      <c r="BN44" s="0">
        <v>-5928.249</v>
      </c>
      <c r="BO44" s="0">
        <v>693.3225345</v>
      </c>
      <c r="BP44" s="0">
        <v>-16490.8360625</v>
      </c>
      <c r="BQ44" s="0">
        <v>357450914.06257367</v>
      </c>
      <c r="BR44" s="0">
        <v>366533069.27576882</v>
      </c>
      <c r="BS44" s="0">
        <v>377393969.06518173</v>
      </c>
      <c r="BT44" s="0">
        <v>407549575.51013708</v>
      </c>
      <c r="BU44" s="0">
        <v>238105506.60638872</v>
      </c>
      <c r="BV44" s="0">
        <v>342926178.33118349</v>
      </c>
      <c r="BW44" s="0">
        <v>344686863.81323624</v>
      </c>
      <c r="BX44" s="0">
        <v>545440849.02730119</v>
      </c>
      <c r="BY44" s="0">
        <v>548671326.244898</v>
      </c>
      <c r="BZ44" s="0">
        <v>558048202.07012165</v>
      </c>
      <c r="CA44" s="0">
        <v>841220657.88158512</v>
      </c>
      <c r="CB44" s="0">
        <v>881.527941</v>
      </c>
      <c r="CC44" s="0">
        <v>81.793907</v>
      </c>
      <c r="CD44" s="0">
        <v>4193.8804464999994</v>
      </c>
      <c r="CE44" s="0">
        <v>-663.9426143125</v>
      </c>
      <c r="CF44" s="0">
        <v>1777.1998512898131</v>
      </c>
      <c r="CG44" s="0">
        <v>1327.9112598212982</v>
      </c>
      <c r="CH44" s="0">
        <v>236.11085419519026</v>
      </c>
      <c r="CI44" s="0">
        <v>-246.98782574163383</v>
      </c>
      <c r="CJ44" s="0">
        <v>580.320984</v>
      </c>
      <c r="CK44" s="0">
        <v>480.815081</v>
      </c>
      <c r="CL44" s="0">
        <v>1697.9185351874999</v>
      </c>
      <c r="CM44" s="0">
        <v>-35.64739975</v>
      </c>
      <c r="CN44" s="305">
        <v>180.08213262607947</v>
      </c>
      <c r="CO44" s="305">
        <v>-189.91771820549042</v>
      </c>
      <c r="CP44" s="305">
        <v>366324650.75159281</v>
      </c>
      <c r="CQ44" s="0">
        <v>111.77134697159747</v>
      </c>
      <c r="CR44" s="0">
        <v>-133.41463109072114</v>
      </c>
      <c r="CS44" s="0">
        <v>4.9737609718098712</v>
      </c>
      <c r="CT44" s="0">
        <v>3.7163593015904444</v>
      </c>
      <c r="CU44" s="0">
        <v>2121.814859965777</v>
      </c>
      <c r="CV44" s="0">
        <v>350.36133</v>
      </c>
      <c r="CW44" s="0">
        <v>-16.488375</v>
      </c>
    </row>
    <row r="45">
      <c r="D45" s="0">
        <v>122</v>
      </c>
      <c r="E45" s="0" t="s">
        <v>132</v>
      </c>
      <c r="F45" s="0">
        <v>78100</v>
      </c>
      <c r="G45" s="0">
        <v>0</v>
      </c>
      <c r="H45" s="0">
        <v>1</v>
      </c>
      <c r="I45" s="0">
        <v>2800</v>
      </c>
      <c r="J45" s="0">
        <v>40</v>
      </c>
      <c r="K45" s="0">
        <v>1857.8945065927014</v>
      </c>
      <c r="L45" s="0">
        <v>30</v>
      </c>
      <c r="M45" s="0">
        <v>120</v>
      </c>
      <c r="N45" s="0">
        <v>3112.1111111111113</v>
      </c>
      <c r="O45" s="0">
        <v>14</v>
      </c>
      <c r="P45" s="0">
        <v>0.125</v>
      </c>
      <c r="Q45" s="0">
        <v>512</v>
      </c>
      <c r="R45" s="0">
        <v>290</v>
      </c>
      <c r="S45" s="0">
        <v>0</v>
      </c>
      <c r="T45" s="0">
        <v>0</v>
      </c>
      <c r="U45" s="0">
        <v>2400</v>
      </c>
      <c r="V45" s="0">
        <v>2400</v>
      </c>
      <c r="W45" s="0">
        <v>0</v>
      </c>
      <c r="X45" s="0">
        <v>0</v>
      </c>
      <c r="Y45" s="0">
        <v>6100</v>
      </c>
      <c r="Z45" s="0">
        <v>26144</v>
      </c>
      <c r="AA45" s="0">
        <v>5450</v>
      </c>
      <c r="AB45" s="0">
        <v>2</v>
      </c>
      <c r="AC45" s="0">
        <v>2500</v>
      </c>
      <c r="AD45" s="0">
        <v>2</v>
      </c>
      <c r="AE45" s="0">
        <v>10</v>
      </c>
      <c r="AF45" s="0">
        <v>160</v>
      </c>
      <c r="AG45" s="0">
        <v>0</v>
      </c>
      <c r="AH45" s="0">
        <v>0</v>
      </c>
      <c r="AI45" s="0">
        <v>0</v>
      </c>
      <c r="AJ45" s="0">
        <v>5428.6721054031623</v>
      </c>
      <c r="AK45" s="0">
        <v>5428.6721054031623</v>
      </c>
      <c r="AL45" s="0">
        <v>0</v>
      </c>
      <c r="AM45" s="305">
        <v>5000</v>
      </c>
      <c r="AN45" s="305">
        <v>778.02777777777783</v>
      </c>
      <c r="AO45" s="305">
        <v>380</v>
      </c>
      <c r="AP45" s="305">
        <v>380</v>
      </c>
      <c r="AQ45" s="305">
        <v>355</v>
      </c>
      <c r="AR45" s="305">
        <v>112.79268587133063</v>
      </c>
      <c r="AS45" s="305">
        <v>-109.82189967891083</v>
      </c>
      <c r="AT45" s="305">
        <v>1867.38609884656</v>
      </c>
      <c r="AU45" s="305">
        <v>1314.7250122645514</v>
      </c>
      <c r="AV45" s="305">
        <v>1896.2076392603926</v>
      </c>
      <c r="AW45" s="305">
        <v>42.814452</v>
      </c>
      <c r="AX45" s="305">
        <v>0.121289</v>
      </c>
      <c r="AY45" s="305">
        <v>198.184377</v>
      </c>
      <c r="AZ45" s="305" t="s">
        <v>27</v>
      </c>
      <c r="BA45" s="305">
        <v>1284.7250122645514</v>
      </c>
      <c r="BB45" s="305">
        <v>956.980073</v>
      </c>
      <c r="BC45" s="305">
        <v>113.449192</v>
      </c>
      <c r="BD45" s="305">
        <v>1846.521</v>
      </c>
      <c r="BE45" s="305">
        <v>-10862.473</v>
      </c>
      <c r="BF45" s="305">
        <v>-290.603329</v>
      </c>
      <c r="BG45" s="305">
        <v>-23091.314</v>
      </c>
      <c r="BH45" s="67">
        <v>380</v>
      </c>
      <c r="BI45" s="0">
        <v>380</v>
      </c>
      <c r="BJ45" s="0" t="s">
        <v>114</v>
      </c>
      <c r="BK45" s="0">
        <v>1611.7936112514331</v>
      </c>
      <c r="BL45" s="0">
        <v>167072.55506217608</v>
      </c>
      <c r="BM45" s="0">
        <v>-6630.956</v>
      </c>
      <c r="BN45" s="0">
        <v>-5928.249</v>
      </c>
      <c r="BO45" s="0">
        <v>693.3225345</v>
      </c>
      <c r="BP45" s="0">
        <v>-16490.8360625</v>
      </c>
      <c r="BQ45" s="0">
        <v>366966833.3735711</v>
      </c>
      <c r="BR45" s="0">
        <v>376894999.70472264</v>
      </c>
      <c r="BS45" s="0">
        <v>387982608.70331675</v>
      </c>
      <c r="BT45" s="0">
        <v>419419706.54361844</v>
      </c>
      <c r="BU45" s="0">
        <v>243909231.54000858</v>
      </c>
      <c r="BV45" s="0">
        <v>350787470.52820694</v>
      </c>
      <c r="BW45" s="0">
        <v>352576091.67197591</v>
      </c>
      <c r="BX45" s="0">
        <v>557806137.90864646</v>
      </c>
      <c r="BY45" s="0">
        <v>560879758.88547575</v>
      </c>
      <c r="BZ45" s="0">
        <v>570334127.57247472</v>
      </c>
      <c r="CA45" s="0">
        <v>865044599.643574</v>
      </c>
      <c r="CB45" s="0">
        <v>881.527941</v>
      </c>
      <c r="CC45" s="0">
        <v>81.793907</v>
      </c>
      <c r="CD45" s="0">
        <v>4193.8804464999994</v>
      </c>
      <c r="CE45" s="0">
        <v>-663.9426143125</v>
      </c>
      <c r="CF45" s="0">
        <v>1816.3673416557756</v>
      </c>
      <c r="CG45" s="0">
        <v>1365.7437694553357</v>
      </c>
      <c r="CH45" s="0">
        <v>229.63067682691695</v>
      </c>
      <c r="CI45" s="0">
        <v>-241.38660544989025</v>
      </c>
      <c r="CJ45" s="0">
        <v>580.320984</v>
      </c>
      <c r="CK45" s="0">
        <v>480.815081</v>
      </c>
      <c r="CL45" s="0">
        <v>1697.9185351874999</v>
      </c>
      <c r="CM45" s="0">
        <v>-35.64739975</v>
      </c>
      <c r="CN45" s="305">
        <v>175.14405530929273</v>
      </c>
      <c r="CO45" s="305">
        <v>-185.60754102782602</v>
      </c>
      <c r="CP45" s="305">
        <v>377818189.01465422</v>
      </c>
      <c r="CQ45" s="0">
        <v>108.75069287957138</v>
      </c>
      <c r="CR45" s="0">
        <v>-130.36057990383102</v>
      </c>
      <c r="CS45" s="0">
        <v>4.8329969744499639</v>
      </c>
      <c r="CT45" s="0">
        <v>3.6339760984881391</v>
      </c>
      <c r="CU45" s="0">
        <v>2132.6649438213763</v>
      </c>
      <c r="CV45" s="0">
        <v>350.36133</v>
      </c>
      <c r="CW45" s="0">
        <v>-16.488375</v>
      </c>
    </row>
    <row r="46">
      <c r="D46" s="0">
        <v>122</v>
      </c>
      <c r="E46" s="0" t="s">
        <v>132</v>
      </c>
      <c r="F46" s="0">
        <v>78100</v>
      </c>
      <c r="G46" s="0">
        <v>0</v>
      </c>
      <c r="H46" s="0">
        <v>1</v>
      </c>
      <c r="I46" s="0">
        <v>2800</v>
      </c>
      <c r="J46" s="0">
        <v>40</v>
      </c>
      <c r="K46" s="0">
        <v>1857.8945065927014</v>
      </c>
      <c r="L46" s="0">
        <v>30</v>
      </c>
      <c r="M46" s="0">
        <v>120</v>
      </c>
      <c r="N46" s="0">
        <v>3112.1111111111113</v>
      </c>
      <c r="O46" s="0">
        <v>14</v>
      </c>
      <c r="P46" s="0">
        <v>0.125</v>
      </c>
      <c r="Q46" s="0">
        <v>512</v>
      </c>
      <c r="R46" s="0">
        <v>290</v>
      </c>
      <c r="S46" s="0">
        <v>0</v>
      </c>
      <c r="T46" s="0">
        <v>0</v>
      </c>
      <c r="U46" s="0">
        <v>2400</v>
      </c>
      <c r="V46" s="0">
        <v>2400</v>
      </c>
      <c r="W46" s="0">
        <v>0</v>
      </c>
      <c r="X46" s="0">
        <v>0</v>
      </c>
      <c r="Y46" s="0">
        <v>6100</v>
      </c>
      <c r="Z46" s="0">
        <v>26144</v>
      </c>
      <c r="AA46" s="0">
        <v>5450</v>
      </c>
      <c r="AB46" s="0">
        <v>2</v>
      </c>
      <c r="AC46" s="0">
        <v>2500</v>
      </c>
      <c r="AD46" s="0">
        <v>2</v>
      </c>
      <c r="AE46" s="0">
        <v>10</v>
      </c>
      <c r="AF46" s="0">
        <v>160</v>
      </c>
      <c r="AG46" s="0">
        <v>0</v>
      </c>
      <c r="AH46" s="0">
        <v>0</v>
      </c>
      <c r="AI46" s="0">
        <v>0</v>
      </c>
      <c r="AJ46" s="0">
        <v>5428.6721054031623</v>
      </c>
      <c r="AK46" s="0">
        <v>5428.6721054031623</v>
      </c>
      <c r="AL46" s="0">
        <v>0</v>
      </c>
      <c r="AM46" s="305">
        <v>5000</v>
      </c>
      <c r="AN46" s="305">
        <v>778.02777777777783</v>
      </c>
      <c r="AO46" s="305">
        <v>380</v>
      </c>
      <c r="AP46" s="305">
        <v>380</v>
      </c>
      <c r="AQ46" s="305">
        <v>355</v>
      </c>
      <c r="AR46" s="305">
        <v>130.09801107172282</v>
      </c>
      <c r="AS46" s="305">
        <v>-127.3220044658575</v>
      </c>
      <c r="AT46" s="305">
        <v>1867.38609884656</v>
      </c>
      <c r="AU46" s="305">
        <v>1314.7250122645514</v>
      </c>
      <c r="AV46" s="305">
        <v>1896.2076392603926</v>
      </c>
      <c r="AW46" s="305">
        <v>42.814452</v>
      </c>
      <c r="AX46" s="305">
        <v>0.121289</v>
      </c>
      <c r="AY46" s="305">
        <v>220.657112</v>
      </c>
      <c r="AZ46" s="305" t="s">
        <v>27</v>
      </c>
      <c r="BA46" s="305">
        <v>1284.7250122645514</v>
      </c>
      <c r="BB46" s="305">
        <v>1006.746</v>
      </c>
      <c r="BC46" s="305">
        <v>151.131143</v>
      </c>
      <c r="BD46" s="305">
        <v>1915.668</v>
      </c>
      <c r="BE46" s="305">
        <v>-12580.734</v>
      </c>
      <c r="BF46" s="305">
        <v>-522.111122</v>
      </c>
      <c r="BG46" s="305">
        <v>-26383.23</v>
      </c>
      <c r="BH46" s="67">
        <v>380</v>
      </c>
      <c r="BI46" s="0">
        <v>380</v>
      </c>
      <c r="BJ46" s="0" t="s">
        <v>114</v>
      </c>
      <c r="BK46" s="0">
        <v>1611.7936112514331</v>
      </c>
      <c r="BL46" s="0">
        <v>167072.55506217608</v>
      </c>
      <c r="BM46" s="0">
        <v>-7675.029</v>
      </c>
      <c r="BN46" s="0">
        <v>-6785.364</v>
      </c>
      <c r="BO46" s="0">
        <v>331.32495825</v>
      </c>
      <c r="BP46" s="0">
        <v>-18929.1334375</v>
      </c>
      <c r="BQ46" s="0">
        <v>366966833.3735711</v>
      </c>
      <c r="BR46" s="0">
        <v>376894999.70472264</v>
      </c>
      <c r="BS46" s="0">
        <v>387982608.70331675</v>
      </c>
      <c r="BT46" s="0">
        <v>419419706.54361844</v>
      </c>
      <c r="BU46" s="0">
        <v>243909231.54000858</v>
      </c>
      <c r="BV46" s="0">
        <v>350787470.52820694</v>
      </c>
      <c r="BW46" s="0">
        <v>352576091.67197591</v>
      </c>
      <c r="BX46" s="0">
        <v>557806137.90864646</v>
      </c>
      <c r="BY46" s="0">
        <v>560879758.88547575</v>
      </c>
      <c r="BZ46" s="0">
        <v>570334127.57247472</v>
      </c>
      <c r="CA46" s="0">
        <v>865044599.643574</v>
      </c>
      <c r="CB46" s="0">
        <v>973.580566</v>
      </c>
      <c r="CC46" s="0">
        <v>87.62132</v>
      </c>
      <c r="CD46" s="0">
        <v>4523.14425</v>
      </c>
      <c r="CE46" s="0">
        <v>-623.75995074999992</v>
      </c>
      <c r="CF46" s="0">
        <v>1816.3673416557756</v>
      </c>
      <c r="CG46" s="0">
        <v>1365.7437694553357</v>
      </c>
      <c r="CH46" s="0">
        <v>264.33188994056064</v>
      </c>
      <c r="CI46" s="0">
        <v>-278.32564978353207</v>
      </c>
      <c r="CJ46" s="0">
        <v>612.905984</v>
      </c>
      <c r="CK46" s="0">
        <v>498.745581</v>
      </c>
      <c r="CL46" s="0">
        <v>1786.7451254375</v>
      </c>
      <c r="CM46" s="0">
        <v>-16.31027025</v>
      </c>
      <c r="CN46" s="305">
        <v>201.64930383625847</v>
      </c>
      <c r="CO46" s="305">
        <v>-214.06060325343691</v>
      </c>
      <c r="CP46" s="305">
        <v>377818189.01465422</v>
      </c>
      <c r="CQ46" s="0">
        <v>125.48923028354956</v>
      </c>
      <c r="CR46" s="0">
        <v>-150.70003958932583</v>
      </c>
      <c r="CS46" s="0">
        <v>5.2500467363495256</v>
      </c>
      <c r="CT46" s="0">
        <v>3.9475597557168212</v>
      </c>
      <c r="CU46" s="0">
        <v>2132.6649438213763</v>
      </c>
      <c r="CV46" s="0">
        <v>365.511532</v>
      </c>
      <c r="CW46" s="0">
        <v>-7.797839</v>
      </c>
    </row>
    <row r="47">
      <c r="D47" s="0">
        <v>123</v>
      </c>
      <c r="E47" s="0" t="s">
        <v>120</v>
      </c>
      <c r="F47" s="0">
        <v>79850</v>
      </c>
      <c r="G47" s="0">
        <v>0</v>
      </c>
      <c r="H47" s="0">
        <v>1</v>
      </c>
      <c r="I47" s="0">
        <v>2800</v>
      </c>
      <c r="J47" s="0">
        <v>40</v>
      </c>
      <c r="K47" s="0">
        <v>1835.8071259191618</v>
      </c>
      <c r="L47" s="0">
        <v>30</v>
      </c>
      <c r="M47" s="0">
        <v>120</v>
      </c>
      <c r="N47" s="0">
        <v>3200</v>
      </c>
      <c r="O47" s="0">
        <v>14</v>
      </c>
      <c r="P47" s="0">
        <v>0.125</v>
      </c>
      <c r="Q47" s="0">
        <v>600</v>
      </c>
      <c r="R47" s="0">
        <v>290</v>
      </c>
      <c r="S47" s="0">
        <v>0</v>
      </c>
      <c r="T47" s="0">
        <v>0</v>
      </c>
      <c r="U47" s="0">
        <v>2400</v>
      </c>
      <c r="V47" s="0">
        <v>2400</v>
      </c>
      <c r="W47" s="0">
        <v>0</v>
      </c>
      <c r="X47" s="0">
        <v>0</v>
      </c>
      <c r="Y47" s="0">
        <v>6100</v>
      </c>
      <c r="Z47" s="0">
        <v>26144</v>
      </c>
      <c r="AA47" s="0">
        <v>5450</v>
      </c>
      <c r="AB47" s="0">
        <v>2</v>
      </c>
      <c r="AC47" s="0">
        <v>2500</v>
      </c>
      <c r="AD47" s="0">
        <v>2</v>
      </c>
      <c r="AE47" s="0">
        <v>10</v>
      </c>
      <c r="AF47" s="0">
        <v>160</v>
      </c>
      <c r="AG47" s="0">
        <v>0</v>
      </c>
      <c r="AH47" s="0">
        <v>0</v>
      </c>
      <c r="AI47" s="0">
        <v>0</v>
      </c>
      <c r="AJ47" s="0">
        <v>5428.6721054031623</v>
      </c>
      <c r="AK47" s="0">
        <v>5428.6721054031623</v>
      </c>
      <c r="AL47" s="0">
        <v>0</v>
      </c>
      <c r="AM47" s="305">
        <v>5000</v>
      </c>
      <c r="AN47" s="305">
        <v>800</v>
      </c>
      <c r="AO47" s="305">
        <v>380</v>
      </c>
      <c r="AP47" s="305">
        <v>380</v>
      </c>
      <c r="AQ47" s="305">
        <v>355</v>
      </c>
      <c r="AR47" s="305">
        <v>126.46368998023478</v>
      </c>
      <c r="AS47" s="305">
        <v>-120.88711737965153</v>
      </c>
      <c r="AT47" s="305">
        <v>1960.6069252649909</v>
      </c>
      <c r="AU47" s="305">
        <v>1309.3930747350091</v>
      </c>
      <c r="AV47" s="305">
        <v>1951.3628862557773</v>
      </c>
      <c r="AW47" s="305">
        <v>42.814452</v>
      </c>
      <c r="AX47" s="305">
        <v>0.121289</v>
      </c>
      <c r="AY47" s="305">
        <v>220.657112</v>
      </c>
      <c r="AZ47" s="305" t="s">
        <v>27</v>
      </c>
      <c r="BA47" s="305">
        <v>1279.3930747350091</v>
      </c>
      <c r="BB47" s="305">
        <v>1006.746</v>
      </c>
      <c r="BC47" s="305">
        <v>151.131143</v>
      </c>
      <c r="BD47" s="305">
        <v>1915.668</v>
      </c>
      <c r="BE47" s="305">
        <v>-12580.734</v>
      </c>
      <c r="BF47" s="305">
        <v>-522.111122</v>
      </c>
      <c r="BG47" s="305">
        <v>-26383.23</v>
      </c>
      <c r="BH47" s="67">
        <v>380</v>
      </c>
      <c r="BI47" s="0">
        <v>380</v>
      </c>
      <c r="BJ47" s="0" t="s">
        <v>114</v>
      </c>
      <c r="BK47" s="0">
        <v>1853.1495155253</v>
      </c>
      <c r="BL47" s="0">
        <v>175957.68375125263</v>
      </c>
      <c r="BM47" s="0">
        <v>-7675.029</v>
      </c>
      <c r="BN47" s="0">
        <v>-6785.364</v>
      </c>
      <c r="BO47" s="0">
        <v>331.32495825</v>
      </c>
      <c r="BP47" s="0">
        <v>-18929.1334375</v>
      </c>
      <c r="BQ47" s="0">
        <v>377846325.18427092</v>
      </c>
      <c r="BR47" s="0">
        <v>387990627.15620255</v>
      </c>
      <c r="BS47" s="0">
        <v>399297524.8389262</v>
      </c>
      <c r="BT47" s="0">
        <v>430930908.38266432</v>
      </c>
      <c r="BU47" s="0">
        <v>250522242.37820339</v>
      </c>
      <c r="BV47" s="0">
        <v>372954686.47856081</v>
      </c>
      <c r="BW47" s="0">
        <v>374923398.871864</v>
      </c>
      <c r="BX47" s="0">
        <v>605468170.1297102</v>
      </c>
      <c r="BY47" s="0">
        <v>608046774.711406</v>
      </c>
      <c r="BZ47" s="0">
        <v>619128901.55944884</v>
      </c>
      <c r="CA47" s="0">
        <v>892212615.31639969</v>
      </c>
      <c r="CB47" s="0">
        <v>973.580566</v>
      </c>
      <c r="CC47" s="0">
        <v>87.62132</v>
      </c>
      <c r="CD47" s="0">
        <v>4523.14425</v>
      </c>
      <c r="CE47" s="0">
        <v>-623.75995074999992</v>
      </c>
      <c r="CF47" s="0">
        <v>1910.3460793944662</v>
      </c>
      <c r="CG47" s="0">
        <v>1359.6539206055338</v>
      </c>
      <c r="CH47" s="0">
        <v>256.93031103126884</v>
      </c>
      <c r="CI47" s="0">
        <v>-262.81424025721344</v>
      </c>
      <c r="CJ47" s="0">
        <v>612.905984</v>
      </c>
      <c r="CK47" s="0">
        <v>498.745581</v>
      </c>
      <c r="CL47" s="0">
        <v>1786.7451254375</v>
      </c>
      <c r="CM47" s="0">
        <v>-16.31027025</v>
      </c>
      <c r="CN47" s="305">
        <v>195.99593789776571</v>
      </c>
      <c r="CO47" s="305">
        <v>-202.25488369484506</v>
      </c>
      <c r="CP47" s="305">
        <v>390091075.27753562</v>
      </c>
      <c r="CQ47" s="0">
        <v>121.89869644126735</v>
      </c>
      <c r="CR47" s="0">
        <v>-143.51416255575566</v>
      </c>
      <c r="CS47" s="0">
        <v>5.109805350849097</v>
      </c>
      <c r="CT47" s="0">
        <v>3.6368106039798405</v>
      </c>
      <c r="CU47" s="0">
        <v>2146.2974702357506</v>
      </c>
      <c r="CV47" s="0">
        <v>365.511532</v>
      </c>
      <c r="CW47" s="0">
        <v>-7.797839</v>
      </c>
    </row>
    <row r="48">
      <c r="D48" s="0">
        <v>123</v>
      </c>
      <c r="E48" s="0" t="s">
        <v>120</v>
      </c>
      <c r="F48" s="0">
        <v>79850</v>
      </c>
      <c r="G48" s="0">
        <v>0</v>
      </c>
      <c r="H48" s="0">
        <v>1</v>
      </c>
      <c r="I48" s="0">
        <v>2800</v>
      </c>
      <c r="J48" s="0">
        <v>40</v>
      </c>
      <c r="K48" s="0">
        <v>1835.8071259191618</v>
      </c>
      <c r="L48" s="0">
        <v>30</v>
      </c>
      <c r="M48" s="0">
        <v>120</v>
      </c>
      <c r="N48" s="0">
        <v>3200</v>
      </c>
      <c r="O48" s="0">
        <v>14</v>
      </c>
      <c r="P48" s="0">
        <v>0.125</v>
      </c>
      <c r="Q48" s="0">
        <v>600</v>
      </c>
      <c r="R48" s="0">
        <v>290</v>
      </c>
      <c r="S48" s="0">
        <v>0</v>
      </c>
      <c r="T48" s="0">
        <v>0</v>
      </c>
      <c r="U48" s="0">
        <v>2400</v>
      </c>
      <c r="V48" s="0">
        <v>2400</v>
      </c>
      <c r="W48" s="0">
        <v>0</v>
      </c>
      <c r="X48" s="0">
        <v>0</v>
      </c>
      <c r="Y48" s="0">
        <v>6100</v>
      </c>
      <c r="Z48" s="0">
        <v>26144</v>
      </c>
      <c r="AA48" s="0">
        <v>5450</v>
      </c>
      <c r="AB48" s="0">
        <v>2</v>
      </c>
      <c r="AC48" s="0">
        <v>2500</v>
      </c>
      <c r="AD48" s="0">
        <v>2</v>
      </c>
      <c r="AE48" s="0">
        <v>10</v>
      </c>
      <c r="AF48" s="0">
        <v>160</v>
      </c>
      <c r="AG48" s="0">
        <v>0</v>
      </c>
      <c r="AH48" s="0">
        <v>0</v>
      </c>
      <c r="AI48" s="0">
        <v>0</v>
      </c>
      <c r="AJ48" s="0">
        <v>5428.6721054031623</v>
      </c>
      <c r="AK48" s="0">
        <v>5428.6721054031623</v>
      </c>
      <c r="AL48" s="0">
        <v>0</v>
      </c>
      <c r="AM48" s="305">
        <v>5000</v>
      </c>
      <c r="AN48" s="305">
        <v>800</v>
      </c>
      <c r="AO48" s="305">
        <v>380</v>
      </c>
      <c r="AP48" s="305">
        <v>380</v>
      </c>
      <c r="AQ48" s="305">
        <v>355</v>
      </c>
      <c r="AR48" s="305">
        <v>141.60193767553889</v>
      </c>
      <c r="AS48" s="305">
        <v>-135.99384170977143</v>
      </c>
      <c r="AT48" s="305">
        <v>1960.6069252649909</v>
      </c>
      <c r="AU48" s="305">
        <v>1309.3930747350091</v>
      </c>
      <c r="AV48" s="305">
        <v>1951.3628862557773</v>
      </c>
      <c r="AW48" s="305">
        <v>42.814452</v>
      </c>
      <c r="AX48" s="305">
        <v>0.121289</v>
      </c>
      <c r="AY48" s="305">
        <v>239.919455</v>
      </c>
      <c r="AZ48" s="305" t="s">
        <v>27</v>
      </c>
      <c r="BA48" s="305">
        <v>1279.3930747350091</v>
      </c>
      <c r="BB48" s="305">
        <v>1049.703</v>
      </c>
      <c r="BC48" s="305">
        <v>188.733147</v>
      </c>
      <c r="BD48" s="305">
        <v>1974.937</v>
      </c>
      <c r="BE48" s="305">
        <v>-14123.071</v>
      </c>
      <c r="BF48" s="305">
        <v>-777.009339</v>
      </c>
      <c r="BG48" s="305">
        <v>-29301.184</v>
      </c>
      <c r="BH48" s="67">
        <v>380</v>
      </c>
      <c r="BI48" s="0">
        <v>380</v>
      </c>
      <c r="BJ48" s="0" t="s">
        <v>114</v>
      </c>
      <c r="BK48" s="0">
        <v>1853.1495155253</v>
      </c>
      <c r="BL48" s="0">
        <v>175957.68375125263</v>
      </c>
      <c r="BM48" s="0">
        <v>-8615.336</v>
      </c>
      <c r="BN48" s="0">
        <v>-7545.009</v>
      </c>
      <c r="BO48" s="0">
        <v>12.14332975</v>
      </c>
      <c r="BP48" s="0">
        <v>-21197.2188125</v>
      </c>
      <c r="BQ48" s="0">
        <v>377846325.18427092</v>
      </c>
      <c r="BR48" s="0">
        <v>387990627.15620255</v>
      </c>
      <c r="BS48" s="0">
        <v>399297524.8389262</v>
      </c>
      <c r="BT48" s="0">
        <v>430930908.38266432</v>
      </c>
      <c r="BU48" s="0">
        <v>250522242.37820339</v>
      </c>
      <c r="BV48" s="0">
        <v>372954686.47856081</v>
      </c>
      <c r="BW48" s="0">
        <v>374923398.871864</v>
      </c>
      <c r="BX48" s="0">
        <v>605468170.1297102</v>
      </c>
      <c r="BY48" s="0">
        <v>608046774.711406</v>
      </c>
      <c r="BZ48" s="0">
        <v>619128901.55944884</v>
      </c>
      <c r="CA48" s="0">
        <v>892212615.31639969</v>
      </c>
      <c r="CB48" s="0">
        <v>1052.483</v>
      </c>
      <c r="CC48" s="0">
        <v>92.616245</v>
      </c>
      <c r="CD48" s="0">
        <v>4812.3886875</v>
      </c>
      <c r="CE48" s="0">
        <v>-597.7483880625</v>
      </c>
      <c r="CF48" s="0">
        <v>1910.3460793944662</v>
      </c>
      <c r="CG48" s="0">
        <v>1359.6539206055338</v>
      </c>
      <c r="CH48" s="0">
        <v>287.54792876574857</v>
      </c>
      <c r="CI48" s="0">
        <v>-294.47854059531926</v>
      </c>
      <c r="CJ48" s="0">
        <v>640.835984</v>
      </c>
      <c r="CK48" s="0">
        <v>514.114581</v>
      </c>
      <c r="CL48" s="0">
        <v>1864.318417</v>
      </c>
      <c r="CM48" s="0">
        <v>-1.1183825</v>
      </c>
      <c r="CN48" s="305">
        <v>219.37269018250896</v>
      </c>
      <c r="CO48" s="305">
        <v>-226.65665681758483</v>
      </c>
      <c r="CP48" s="305">
        <v>390091075.27753562</v>
      </c>
      <c r="CQ48" s="0">
        <v>136.53080554186653</v>
      </c>
      <c r="CR48" s="0">
        <v>-161.01999834461432</v>
      </c>
      <c r="CS48" s="0">
        <v>5.4481134134969071</v>
      </c>
      <c r="CT48" s="0">
        <v>3.8775951867908045</v>
      </c>
      <c r="CU48" s="0">
        <v>2146.2974702357506</v>
      </c>
      <c r="CV48" s="0">
        <v>378.249721</v>
      </c>
      <c r="CW48" s="0">
        <v>-0.67591</v>
      </c>
    </row>
    <row r="49">
      <c r="D49" s="0">
        <v>124</v>
      </c>
      <c r="E49" s="0" t="s">
        <v>133</v>
      </c>
      <c r="F49" s="0">
        <v>81350</v>
      </c>
      <c r="G49" s="0">
        <v>0</v>
      </c>
      <c r="H49" s="0">
        <v>1</v>
      </c>
      <c r="I49" s="0">
        <v>2800</v>
      </c>
      <c r="J49" s="0">
        <v>40</v>
      </c>
      <c r="K49" s="0">
        <v>1835.8071259191618</v>
      </c>
      <c r="L49" s="0">
        <v>30</v>
      </c>
      <c r="M49" s="0">
        <v>120</v>
      </c>
      <c r="N49" s="0">
        <v>3200</v>
      </c>
      <c r="O49" s="0">
        <v>14</v>
      </c>
      <c r="P49" s="0">
        <v>0.125</v>
      </c>
      <c r="Q49" s="0">
        <v>600</v>
      </c>
      <c r="R49" s="0">
        <v>290</v>
      </c>
      <c r="S49" s="0">
        <v>0</v>
      </c>
      <c r="T49" s="0">
        <v>0</v>
      </c>
      <c r="U49" s="0">
        <v>2400</v>
      </c>
      <c r="V49" s="0">
        <v>2400</v>
      </c>
      <c r="W49" s="0">
        <v>0</v>
      </c>
      <c r="X49" s="0">
        <v>0</v>
      </c>
      <c r="Y49" s="0">
        <v>6100</v>
      </c>
      <c r="Z49" s="0">
        <v>26144</v>
      </c>
      <c r="AA49" s="0">
        <v>5450</v>
      </c>
      <c r="AB49" s="0">
        <v>2</v>
      </c>
      <c r="AC49" s="0">
        <v>2500</v>
      </c>
      <c r="AD49" s="0">
        <v>2</v>
      </c>
      <c r="AE49" s="0">
        <v>10</v>
      </c>
      <c r="AF49" s="0">
        <v>160</v>
      </c>
      <c r="AG49" s="0">
        <v>0</v>
      </c>
      <c r="AH49" s="0">
        <v>0</v>
      </c>
      <c r="AI49" s="0">
        <v>0</v>
      </c>
      <c r="AJ49" s="0">
        <v>5428.6721054031623</v>
      </c>
      <c r="AK49" s="0">
        <v>5428.6721054031623</v>
      </c>
      <c r="AL49" s="0">
        <v>0</v>
      </c>
      <c r="AM49" s="305">
        <v>5000</v>
      </c>
      <c r="AN49" s="305">
        <v>800</v>
      </c>
      <c r="AO49" s="305">
        <v>380</v>
      </c>
      <c r="AP49" s="305">
        <v>380</v>
      </c>
      <c r="AQ49" s="305">
        <v>355</v>
      </c>
      <c r="AR49" s="305">
        <v>141.60233256149567</v>
      </c>
      <c r="AS49" s="305">
        <v>-135.99435257020988</v>
      </c>
      <c r="AT49" s="305">
        <v>1960.6069252649909</v>
      </c>
      <c r="AU49" s="305">
        <v>1309.3930747350091</v>
      </c>
      <c r="AV49" s="305">
        <v>1951.3628862557773</v>
      </c>
      <c r="AW49" s="305">
        <v>-34.2118</v>
      </c>
      <c r="AX49" s="305">
        <v>-0.14265</v>
      </c>
      <c r="AY49" s="305">
        <v>-233.259087</v>
      </c>
      <c r="AZ49" s="305" t="s">
        <v>27</v>
      </c>
      <c r="BA49" s="305">
        <v>1279.3930747350091</v>
      </c>
      <c r="BB49" s="305">
        <v>-789.989147</v>
      </c>
      <c r="BC49" s="305">
        <v>-186.557301</v>
      </c>
      <c r="BD49" s="305">
        <v>-1577.875</v>
      </c>
      <c r="BE49" s="305">
        <v>-14123.16</v>
      </c>
      <c r="BF49" s="305">
        <v>-777.009231</v>
      </c>
      <c r="BG49" s="305">
        <v>-29301.216</v>
      </c>
      <c r="BH49" s="67">
        <v>380</v>
      </c>
      <c r="BI49" s="0">
        <v>380</v>
      </c>
      <c r="BJ49" s="0" t="s">
        <v>114</v>
      </c>
      <c r="BK49" s="0">
        <v>1853.1495155253</v>
      </c>
      <c r="BL49" s="0">
        <v>175957.68375125263</v>
      </c>
      <c r="BM49" s="0">
        <v>-8615.345</v>
      </c>
      <c r="BN49" s="0">
        <v>-7545.007</v>
      </c>
      <c r="BO49" s="0">
        <v>12.14274</v>
      </c>
      <c r="BP49" s="0">
        <v>-21195.440000000002</v>
      </c>
      <c r="BQ49" s="0">
        <v>377846325.18427092</v>
      </c>
      <c r="BR49" s="0">
        <v>387990627.15620255</v>
      </c>
      <c r="BS49" s="0">
        <v>399297524.8389262</v>
      </c>
      <c r="BT49" s="0">
        <v>430930908.38266432</v>
      </c>
      <c r="BU49" s="0">
        <v>250522242.37820339</v>
      </c>
      <c r="BV49" s="0">
        <v>372954686.47856081</v>
      </c>
      <c r="BW49" s="0">
        <v>374923398.871864</v>
      </c>
      <c r="BX49" s="0">
        <v>605468170.1297102</v>
      </c>
      <c r="BY49" s="0">
        <v>608046774.711406</v>
      </c>
      <c r="BZ49" s="0">
        <v>619128901.55944884</v>
      </c>
      <c r="CA49" s="0">
        <v>892212615.31639969</v>
      </c>
      <c r="CB49" s="0">
        <v>-953.97676</v>
      </c>
      <c r="CC49" s="0">
        <v>-79.804542</v>
      </c>
      <c r="CD49" s="0">
        <v>326.4182978125</v>
      </c>
      <c r="CE49" s="0">
        <v>-4310.95122</v>
      </c>
      <c r="CF49" s="0">
        <v>1910.3460793944662</v>
      </c>
      <c r="CG49" s="0">
        <v>1359.6539206055338</v>
      </c>
      <c r="CH49" s="0">
        <v>287.54091649049008</v>
      </c>
      <c r="CI49" s="0">
        <v>-294.47382514243742</v>
      </c>
      <c r="CJ49" s="0">
        <v>-549.776735</v>
      </c>
      <c r="CK49" s="0">
        <v>-410.280695</v>
      </c>
      <c r="CL49" s="0">
        <v>1.1061947499999998</v>
      </c>
      <c r="CM49" s="0">
        <v>-1658.663748625</v>
      </c>
      <c r="CN49" s="305">
        <v>219.36765926122578</v>
      </c>
      <c r="CO49" s="305">
        <v>-226.65329682991273</v>
      </c>
      <c r="CP49" s="305">
        <v>390091075.27753562</v>
      </c>
      <c r="CQ49" s="0">
        <v>136.53114581733476</v>
      </c>
      <c r="CR49" s="0">
        <v>-161.02046297760367</v>
      </c>
      <c r="CS49" s="0">
        <v>5.44491698751955</v>
      </c>
      <c r="CT49" s="0">
        <v>3.8753201889990874</v>
      </c>
      <c r="CU49" s="0">
        <v>2146.2974702357506</v>
      </c>
      <c r="CV49" s="0">
        <v>0.671188</v>
      </c>
      <c r="CW49" s="0">
        <v>-357.687425</v>
      </c>
    </row>
    <row r="50">
      <c r="D50" s="0">
        <v>124</v>
      </c>
      <c r="E50" s="0" t="s">
        <v>133</v>
      </c>
      <c r="F50" s="0">
        <v>81350</v>
      </c>
      <c r="G50" s="0">
        <v>0</v>
      </c>
      <c r="H50" s="0">
        <v>1</v>
      </c>
      <c r="I50" s="0">
        <v>2800</v>
      </c>
      <c r="J50" s="0">
        <v>40</v>
      </c>
      <c r="K50" s="0">
        <v>1835.8071259191618</v>
      </c>
      <c r="L50" s="0">
        <v>30</v>
      </c>
      <c r="M50" s="0">
        <v>120</v>
      </c>
      <c r="N50" s="0">
        <v>3200</v>
      </c>
      <c r="O50" s="0">
        <v>14</v>
      </c>
      <c r="P50" s="0">
        <v>0.125</v>
      </c>
      <c r="Q50" s="0">
        <v>600</v>
      </c>
      <c r="R50" s="0">
        <v>290</v>
      </c>
      <c r="S50" s="0">
        <v>0</v>
      </c>
      <c r="T50" s="0">
        <v>0</v>
      </c>
      <c r="U50" s="0">
        <v>2400</v>
      </c>
      <c r="V50" s="0">
        <v>2400</v>
      </c>
      <c r="W50" s="0">
        <v>0</v>
      </c>
      <c r="X50" s="0">
        <v>0</v>
      </c>
      <c r="Y50" s="0">
        <v>6100</v>
      </c>
      <c r="Z50" s="0">
        <v>26144</v>
      </c>
      <c r="AA50" s="0">
        <v>5450</v>
      </c>
      <c r="AB50" s="0">
        <v>2</v>
      </c>
      <c r="AC50" s="0">
        <v>2500</v>
      </c>
      <c r="AD50" s="0">
        <v>2</v>
      </c>
      <c r="AE50" s="0">
        <v>10</v>
      </c>
      <c r="AF50" s="0">
        <v>160</v>
      </c>
      <c r="AG50" s="0">
        <v>0</v>
      </c>
      <c r="AH50" s="0">
        <v>0</v>
      </c>
      <c r="AI50" s="0">
        <v>0</v>
      </c>
      <c r="AJ50" s="0">
        <v>5428.6721054031623</v>
      </c>
      <c r="AK50" s="0">
        <v>5428.6721054031623</v>
      </c>
      <c r="AL50" s="0">
        <v>0</v>
      </c>
      <c r="AM50" s="305">
        <v>5000</v>
      </c>
      <c r="AN50" s="305">
        <v>800</v>
      </c>
      <c r="AO50" s="305">
        <v>380</v>
      </c>
      <c r="AP50" s="305">
        <v>380</v>
      </c>
      <c r="AQ50" s="305">
        <v>355</v>
      </c>
      <c r="AR50" s="305">
        <v>129.63999965199392</v>
      </c>
      <c r="AS50" s="305">
        <v>-124.10081597248436</v>
      </c>
      <c r="AT50" s="305">
        <v>1960.6069252649909</v>
      </c>
      <c r="AU50" s="305">
        <v>1309.3930747350091</v>
      </c>
      <c r="AV50" s="305">
        <v>1951.3628862557773</v>
      </c>
      <c r="AW50" s="305">
        <v>-34.2118</v>
      </c>
      <c r="AX50" s="305">
        <v>-0.14265</v>
      </c>
      <c r="AY50" s="305">
        <v>-213.996743</v>
      </c>
      <c r="AZ50" s="305" t="s">
        <v>27</v>
      </c>
      <c r="BA50" s="305">
        <v>1279.3930747350091</v>
      </c>
      <c r="BB50" s="305">
        <v>-747.032732</v>
      </c>
      <c r="BC50" s="305">
        <v>-148.955296</v>
      </c>
      <c r="BD50" s="305">
        <v>-1518.606</v>
      </c>
      <c r="BE50" s="305">
        <v>-12970.394</v>
      </c>
      <c r="BF50" s="305">
        <v>-525.374783</v>
      </c>
      <c r="BG50" s="305">
        <v>-26978.855</v>
      </c>
      <c r="BH50" s="67">
        <v>380</v>
      </c>
      <c r="BI50" s="0">
        <v>380</v>
      </c>
      <c r="BJ50" s="0" t="s">
        <v>114</v>
      </c>
      <c r="BK50" s="0">
        <v>1853.1495155253</v>
      </c>
      <c r="BL50" s="0">
        <v>175957.68375125263</v>
      </c>
      <c r="BM50" s="0">
        <v>-7811.627</v>
      </c>
      <c r="BN50" s="0">
        <v>-6941.112</v>
      </c>
      <c r="BO50" s="0">
        <v>420.62866375</v>
      </c>
      <c r="BP50" s="0">
        <v>-19561.993749999998</v>
      </c>
      <c r="BQ50" s="0">
        <v>377846325.18427092</v>
      </c>
      <c r="BR50" s="0">
        <v>387990627.15620255</v>
      </c>
      <c r="BS50" s="0">
        <v>399297524.8389262</v>
      </c>
      <c r="BT50" s="0">
        <v>430930908.38266432</v>
      </c>
      <c r="BU50" s="0">
        <v>250522242.37820339</v>
      </c>
      <c r="BV50" s="0">
        <v>372954686.47856081</v>
      </c>
      <c r="BW50" s="0">
        <v>374923398.871864</v>
      </c>
      <c r="BX50" s="0">
        <v>605468170.1297102</v>
      </c>
      <c r="BY50" s="0">
        <v>608046774.711406</v>
      </c>
      <c r="BZ50" s="0">
        <v>619128901.55944884</v>
      </c>
      <c r="CA50" s="0">
        <v>892212615.31639969</v>
      </c>
      <c r="CB50" s="0">
        <v>-875.07451</v>
      </c>
      <c r="CC50" s="0">
        <v>-74.809617</v>
      </c>
      <c r="CD50" s="0">
        <v>366.2199326875</v>
      </c>
      <c r="CE50" s="0">
        <v>-4017.2474399999996</v>
      </c>
      <c r="CF50" s="0">
        <v>1910.3460793944662</v>
      </c>
      <c r="CG50" s="0">
        <v>1359.6539206055338</v>
      </c>
      <c r="CH50" s="0">
        <v>263.80529366813266</v>
      </c>
      <c r="CI50" s="0">
        <v>-269.73104118714792</v>
      </c>
      <c r="CJ50" s="0">
        <v>-521.846735</v>
      </c>
      <c r="CK50" s="0">
        <v>-394.911695</v>
      </c>
      <c r="CL50" s="0">
        <v>18.99658625</v>
      </c>
      <c r="CM50" s="0">
        <v>-1575.378999125</v>
      </c>
      <c r="CN50" s="305">
        <v>201.21231057104512</v>
      </c>
      <c r="CO50" s="305">
        <v>-207.55890809126686</v>
      </c>
      <c r="CP50" s="305">
        <v>390091075.27753562</v>
      </c>
      <c r="CQ50" s="0">
        <v>124.81584864391586</v>
      </c>
      <c r="CR50" s="0">
        <v>-147.04396045907973</v>
      </c>
      <c r="CS50" s="0">
        <v>5.5034274929382283</v>
      </c>
      <c r="CT50" s="0">
        <v>3.9169639722628684</v>
      </c>
      <c r="CU50" s="0">
        <v>2146.2974702357506</v>
      </c>
      <c r="CV50" s="0">
        <v>8.781615</v>
      </c>
      <c r="CW50" s="0">
        <v>-341.433459</v>
      </c>
    </row>
    <row r="51">
      <c r="D51" s="0">
        <v>125</v>
      </c>
      <c r="E51" s="0" t="s">
        <v>120</v>
      </c>
      <c r="F51" s="0">
        <v>82850</v>
      </c>
      <c r="G51" s="0">
        <v>0</v>
      </c>
      <c r="H51" s="0">
        <v>1</v>
      </c>
      <c r="I51" s="0">
        <v>2800</v>
      </c>
      <c r="J51" s="0">
        <v>40</v>
      </c>
      <c r="K51" s="0">
        <v>1835.8071259191618</v>
      </c>
      <c r="L51" s="0">
        <v>30</v>
      </c>
      <c r="M51" s="0">
        <v>120</v>
      </c>
      <c r="N51" s="0">
        <v>3200</v>
      </c>
      <c r="O51" s="0">
        <v>14</v>
      </c>
      <c r="P51" s="0">
        <v>0.125</v>
      </c>
      <c r="Q51" s="0">
        <v>512</v>
      </c>
      <c r="R51" s="0">
        <v>290</v>
      </c>
      <c r="S51" s="0">
        <v>0</v>
      </c>
      <c r="T51" s="0">
        <v>0</v>
      </c>
      <c r="U51" s="0">
        <v>2400</v>
      </c>
      <c r="V51" s="0">
        <v>2400</v>
      </c>
      <c r="W51" s="0">
        <v>0</v>
      </c>
      <c r="X51" s="0">
        <v>0</v>
      </c>
      <c r="Y51" s="0">
        <v>6100</v>
      </c>
      <c r="Z51" s="0">
        <v>26144</v>
      </c>
      <c r="AA51" s="0">
        <v>5450</v>
      </c>
      <c r="AB51" s="0">
        <v>2</v>
      </c>
      <c r="AC51" s="0">
        <v>2500</v>
      </c>
      <c r="AD51" s="0">
        <v>2</v>
      </c>
      <c r="AE51" s="0">
        <v>10</v>
      </c>
      <c r="AF51" s="0">
        <v>160</v>
      </c>
      <c r="AG51" s="0">
        <v>0</v>
      </c>
      <c r="AH51" s="0">
        <v>0</v>
      </c>
      <c r="AI51" s="0">
        <v>0</v>
      </c>
      <c r="AJ51" s="0">
        <v>5428.6721054031623</v>
      </c>
      <c r="AK51" s="0">
        <v>5428.6721054031623</v>
      </c>
      <c r="AL51" s="0">
        <v>0</v>
      </c>
      <c r="AM51" s="305">
        <v>5000</v>
      </c>
      <c r="AN51" s="305">
        <v>800</v>
      </c>
      <c r="AO51" s="305">
        <v>380</v>
      </c>
      <c r="AP51" s="305">
        <v>380</v>
      </c>
      <c r="AQ51" s="305">
        <v>355</v>
      </c>
      <c r="AR51" s="305">
        <v>129.24288029326803</v>
      </c>
      <c r="AS51" s="305">
        <v>-127.36435430226429</v>
      </c>
      <c r="AT51" s="305">
        <v>1912.7684277881035</v>
      </c>
      <c r="AU51" s="305">
        <v>1357.2315722118965</v>
      </c>
      <c r="AV51" s="305">
        <v>1951.3628862557773</v>
      </c>
      <c r="AW51" s="305">
        <v>-34.2118</v>
      </c>
      <c r="AX51" s="305">
        <v>-0.14265</v>
      </c>
      <c r="AY51" s="305">
        <v>-213.996743</v>
      </c>
      <c r="AZ51" s="305" t="s">
        <v>27</v>
      </c>
      <c r="BA51" s="305">
        <v>1327.2315722118965</v>
      </c>
      <c r="BB51" s="305">
        <v>-747.032732</v>
      </c>
      <c r="BC51" s="305">
        <v>-148.955296</v>
      </c>
      <c r="BD51" s="305">
        <v>-1518.606</v>
      </c>
      <c r="BE51" s="305">
        <v>-12970.394</v>
      </c>
      <c r="BF51" s="305">
        <v>-525.374783</v>
      </c>
      <c r="BG51" s="305">
        <v>-26978.855</v>
      </c>
      <c r="BH51" s="67">
        <v>380</v>
      </c>
      <c r="BI51" s="0">
        <v>380</v>
      </c>
      <c r="BJ51" s="0" t="s">
        <v>114</v>
      </c>
      <c r="BK51" s="0">
        <v>1626.3798289787228</v>
      </c>
      <c r="BL51" s="0">
        <v>171798.64186287019</v>
      </c>
      <c r="BM51" s="0">
        <v>-7811.627</v>
      </c>
      <c r="BN51" s="0">
        <v>-6941.112</v>
      </c>
      <c r="BO51" s="0">
        <v>420.62866375</v>
      </c>
      <c r="BP51" s="0">
        <v>-19561.993749999998</v>
      </c>
      <c r="BQ51" s="0">
        <v>377846325.18427092</v>
      </c>
      <c r="BR51" s="0">
        <v>388754700.75346857</v>
      </c>
      <c r="BS51" s="0">
        <v>400099533.28491622</v>
      </c>
      <c r="BT51" s="0">
        <v>433026844.18215549</v>
      </c>
      <c r="BU51" s="0">
        <v>250522242.37820339</v>
      </c>
      <c r="BV51" s="0">
        <v>359651301.77141523</v>
      </c>
      <c r="BW51" s="0">
        <v>361472073.09730178</v>
      </c>
      <c r="BX51" s="0">
        <v>571623553.95302868</v>
      </c>
      <c r="BY51" s="0">
        <v>574513299.12130523</v>
      </c>
      <c r="BZ51" s="0">
        <v>584055167.86555779</v>
      </c>
      <c r="CA51" s="0">
        <v>892212615.31639969</v>
      </c>
      <c r="CB51" s="0">
        <v>-875.07451</v>
      </c>
      <c r="CC51" s="0">
        <v>-74.809617</v>
      </c>
      <c r="CD51" s="0">
        <v>366.2199326875</v>
      </c>
      <c r="CE51" s="0">
        <v>-4017.2474399999996</v>
      </c>
      <c r="CF51" s="0">
        <v>1860.5566920552656</v>
      </c>
      <c r="CG51" s="0">
        <v>1409.4433079447344</v>
      </c>
      <c r="CH51" s="0">
        <v>263.13767852435478</v>
      </c>
      <c r="CI51" s="0">
        <v>-278.52160649173049</v>
      </c>
      <c r="CJ51" s="0">
        <v>-521.846735</v>
      </c>
      <c r="CK51" s="0">
        <v>-394.911695</v>
      </c>
      <c r="CL51" s="0">
        <v>18.99658625</v>
      </c>
      <c r="CM51" s="0">
        <v>-1575.378999125</v>
      </c>
      <c r="CN51" s="305">
        <v>200.71594823369733</v>
      </c>
      <c r="CO51" s="305">
        <v>-214.18576222389837</v>
      </c>
      <c r="CP51" s="305">
        <v>390996761.161218</v>
      </c>
      <c r="CQ51" s="0">
        <v>124.63996690241581</v>
      </c>
      <c r="CR51" s="0">
        <v>-150.49506022701087</v>
      </c>
      <c r="CS51" s="0">
        <v>5.4767898124864809</v>
      </c>
      <c r="CT51" s="0">
        <v>4.14887908720584</v>
      </c>
      <c r="CU51" s="0">
        <v>2146.2974702357506</v>
      </c>
      <c r="CV51" s="0">
        <v>8.781615</v>
      </c>
      <c r="CW51" s="0">
        <v>-341.433459</v>
      </c>
    </row>
    <row r="52">
      <c r="D52" s="0">
        <v>125</v>
      </c>
      <c r="E52" s="0" t="s">
        <v>120</v>
      </c>
      <c r="F52" s="0">
        <v>82850</v>
      </c>
      <c r="G52" s="0">
        <v>0</v>
      </c>
      <c r="H52" s="0">
        <v>1</v>
      </c>
      <c r="I52" s="0">
        <v>2800</v>
      </c>
      <c r="J52" s="0">
        <v>40</v>
      </c>
      <c r="K52" s="0">
        <v>1835.8071259191618</v>
      </c>
      <c r="L52" s="0">
        <v>30</v>
      </c>
      <c r="M52" s="0">
        <v>120</v>
      </c>
      <c r="N52" s="0">
        <v>3200</v>
      </c>
      <c r="O52" s="0">
        <v>14</v>
      </c>
      <c r="P52" s="0">
        <v>0.125</v>
      </c>
      <c r="Q52" s="0">
        <v>512</v>
      </c>
      <c r="R52" s="0">
        <v>290</v>
      </c>
      <c r="S52" s="0">
        <v>0</v>
      </c>
      <c r="T52" s="0">
        <v>0</v>
      </c>
      <c r="U52" s="0">
        <v>2400</v>
      </c>
      <c r="V52" s="0">
        <v>2400</v>
      </c>
      <c r="W52" s="0">
        <v>0</v>
      </c>
      <c r="X52" s="0">
        <v>0</v>
      </c>
      <c r="Y52" s="0">
        <v>6100</v>
      </c>
      <c r="Z52" s="0">
        <v>26144</v>
      </c>
      <c r="AA52" s="0">
        <v>5450</v>
      </c>
      <c r="AB52" s="0">
        <v>2</v>
      </c>
      <c r="AC52" s="0">
        <v>2500</v>
      </c>
      <c r="AD52" s="0">
        <v>2</v>
      </c>
      <c r="AE52" s="0">
        <v>10</v>
      </c>
      <c r="AF52" s="0">
        <v>160</v>
      </c>
      <c r="AG52" s="0">
        <v>0</v>
      </c>
      <c r="AH52" s="0">
        <v>0</v>
      </c>
      <c r="AI52" s="0">
        <v>0</v>
      </c>
      <c r="AJ52" s="0">
        <v>5428.6721054031623</v>
      </c>
      <c r="AK52" s="0">
        <v>5428.6721054031623</v>
      </c>
      <c r="AL52" s="0">
        <v>0</v>
      </c>
      <c r="AM52" s="305">
        <v>5000</v>
      </c>
      <c r="AN52" s="305">
        <v>800</v>
      </c>
      <c r="AO52" s="305">
        <v>380</v>
      </c>
      <c r="AP52" s="305">
        <v>380</v>
      </c>
      <c r="AQ52" s="305">
        <v>355</v>
      </c>
      <c r="AR52" s="305">
        <v>116.16494913841335</v>
      </c>
      <c r="AS52" s="305">
        <v>-114.14367760136287</v>
      </c>
      <c r="AT52" s="305">
        <v>1912.7684277881035</v>
      </c>
      <c r="AU52" s="305">
        <v>1357.2315722118965</v>
      </c>
      <c r="AV52" s="305">
        <v>1951.3628862557773</v>
      </c>
      <c r="AW52" s="305">
        <v>-34.2118</v>
      </c>
      <c r="AX52" s="305">
        <v>-0.14265</v>
      </c>
      <c r="AY52" s="305">
        <v>-191.524009</v>
      </c>
      <c r="AZ52" s="305" t="s">
        <v>27</v>
      </c>
      <c r="BA52" s="305">
        <v>1327.2315722118965</v>
      </c>
      <c r="BB52" s="305">
        <v>-696.916914</v>
      </c>
      <c r="BC52" s="305">
        <v>-111.768103</v>
      </c>
      <c r="BD52" s="305">
        <v>-1449.459</v>
      </c>
      <c r="BE52" s="305">
        <v>-11706.938</v>
      </c>
      <c r="BF52" s="305">
        <v>-297.241809</v>
      </c>
      <c r="BG52" s="305">
        <v>-24381.799</v>
      </c>
      <c r="BH52" s="67">
        <v>380</v>
      </c>
      <c r="BI52" s="0">
        <v>380</v>
      </c>
      <c r="BJ52" s="0" t="s">
        <v>114</v>
      </c>
      <c r="BK52" s="0">
        <v>1626.3798289787228</v>
      </c>
      <c r="BL52" s="0">
        <v>171798.64186287019</v>
      </c>
      <c r="BM52" s="0">
        <v>-6926.907</v>
      </c>
      <c r="BN52" s="0">
        <v>-6265.706</v>
      </c>
      <c r="BO52" s="0">
        <v>892.1553615</v>
      </c>
      <c r="BP52" s="0">
        <v>-17879.7985625</v>
      </c>
      <c r="BQ52" s="0">
        <v>377846325.18427092</v>
      </c>
      <c r="BR52" s="0">
        <v>388754700.75346857</v>
      </c>
      <c r="BS52" s="0">
        <v>400099533.28491622</v>
      </c>
      <c r="BT52" s="0">
        <v>433026844.18215549</v>
      </c>
      <c r="BU52" s="0">
        <v>250522242.37820339</v>
      </c>
      <c r="BV52" s="0">
        <v>359651301.77141523</v>
      </c>
      <c r="BW52" s="0">
        <v>361472073.09730178</v>
      </c>
      <c r="BX52" s="0">
        <v>571623553.95302868</v>
      </c>
      <c r="BY52" s="0">
        <v>574513299.12130523</v>
      </c>
      <c r="BZ52" s="0">
        <v>584055167.86555779</v>
      </c>
      <c r="CA52" s="0">
        <v>892212615.31639969</v>
      </c>
      <c r="CB52" s="0">
        <v>-783.021885</v>
      </c>
      <c r="CC52" s="0">
        <v>-68.982205</v>
      </c>
      <c r="CD52" s="0">
        <v>444.9226755</v>
      </c>
      <c r="CE52" s="0">
        <v>-3684.7725364999997</v>
      </c>
      <c r="CF52" s="0">
        <v>1860.5566920552656</v>
      </c>
      <c r="CG52" s="0">
        <v>1409.4433079447344</v>
      </c>
      <c r="CH52" s="0">
        <v>237.56387745800134</v>
      </c>
      <c r="CI52" s="0">
        <v>-250.89363753647916</v>
      </c>
      <c r="CJ52" s="0">
        <v>-489.261735</v>
      </c>
      <c r="CK52" s="0">
        <v>-376.981195</v>
      </c>
      <c r="CL52" s="0">
        <v>41.49980075</v>
      </c>
      <c r="CM52" s="0">
        <v>-1480.34558325</v>
      </c>
      <c r="CN52" s="305">
        <v>181.1383894799346</v>
      </c>
      <c r="CO52" s="305">
        <v>-192.86908177141157</v>
      </c>
      <c r="CP52" s="305">
        <v>390996761.161218</v>
      </c>
      <c r="CQ52" s="0">
        <v>111.80066054584324</v>
      </c>
      <c r="CR52" s="0">
        <v>-134.87255578800688</v>
      </c>
      <c r="CS52" s="0">
        <v>5.5057550970144851</v>
      </c>
      <c r="CT52" s="0">
        <v>4.1708214051233945</v>
      </c>
      <c r="CU52" s="0">
        <v>2146.2974702357506</v>
      </c>
      <c r="CV52" s="0">
        <v>18.54486</v>
      </c>
      <c r="CW52" s="0">
        <v>-322.179132</v>
      </c>
    </row>
    <row r="53">
      <c r="D53" s="0">
        <v>126</v>
      </c>
      <c r="E53" s="0" t="s">
        <v>132</v>
      </c>
      <c r="F53" s="0">
        <v>84600</v>
      </c>
      <c r="G53" s="0">
        <v>0</v>
      </c>
      <c r="H53" s="0">
        <v>1</v>
      </c>
      <c r="I53" s="0">
        <v>2800</v>
      </c>
      <c r="J53" s="0">
        <v>40</v>
      </c>
      <c r="K53" s="0">
        <v>1857.8945065927014</v>
      </c>
      <c r="L53" s="0">
        <v>30</v>
      </c>
      <c r="M53" s="0">
        <v>120</v>
      </c>
      <c r="N53" s="0">
        <v>3112.1111111111113</v>
      </c>
      <c r="O53" s="0">
        <v>14</v>
      </c>
      <c r="P53" s="0">
        <v>0.125</v>
      </c>
      <c r="Q53" s="0">
        <v>512</v>
      </c>
      <c r="R53" s="0">
        <v>290</v>
      </c>
      <c r="S53" s="0">
        <v>0</v>
      </c>
      <c r="T53" s="0">
        <v>0</v>
      </c>
      <c r="U53" s="0">
        <v>2400</v>
      </c>
      <c r="V53" s="0">
        <v>2400</v>
      </c>
      <c r="W53" s="0">
        <v>0</v>
      </c>
      <c r="X53" s="0">
        <v>0</v>
      </c>
      <c r="Y53" s="0">
        <v>6100</v>
      </c>
      <c r="Z53" s="0">
        <v>26144</v>
      </c>
      <c r="AA53" s="0">
        <v>5450</v>
      </c>
      <c r="AB53" s="0">
        <v>2</v>
      </c>
      <c r="AC53" s="0">
        <v>2500</v>
      </c>
      <c r="AD53" s="0">
        <v>2</v>
      </c>
      <c r="AE53" s="0">
        <v>10</v>
      </c>
      <c r="AF53" s="0">
        <v>160</v>
      </c>
      <c r="AG53" s="0">
        <v>0</v>
      </c>
      <c r="AH53" s="0">
        <v>0</v>
      </c>
      <c r="AI53" s="0">
        <v>0</v>
      </c>
      <c r="AJ53" s="0">
        <v>5428.6721054031623</v>
      </c>
      <c r="AK53" s="0">
        <v>5428.6721054031623</v>
      </c>
      <c r="AL53" s="0">
        <v>0</v>
      </c>
      <c r="AM53" s="305">
        <v>5000</v>
      </c>
      <c r="AN53" s="305">
        <v>778.02777777777783</v>
      </c>
      <c r="AO53" s="305">
        <v>380</v>
      </c>
      <c r="AP53" s="305">
        <v>380</v>
      </c>
      <c r="AQ53" s="305">
        <v>355</v>
      </c>
      <c r="AR53" s="305">
        <v>119.87219503875934</v>
      </c>
      <c r="AS53" s="305">
        <v>-117.12687119036632</v>
      </c>
      <c r="AT53" s="305">
        <v>1867.38609884656</v>
      </c>
      <c r="AU53" s="305">
        <v>1314.7250122645514</v>
      </c>
      <c r="AV53" s="305">
        <v>1896.2076392603926</v>
      </c>
      <c r="AW53" s="305">
        <v>-34.2118</v>
      </c>
      <c r="AX53" s="305">
        <v>-0.14265</v>
      </c>
      <c r="AY53" s="305">
        <v>-191.524009</v>
      </c>
      <c r="AZ53" s="305" t="s">
        <v>27</v>
      </c>
      <c r="BA53" s="305">
        <v>1284.7250122645514</v>
      </c>
      <c r="BB53" s="305">
        <v>-696.916914</v>
      </c>
      <c r="BC53" s="305">
        <v>-111.768103</v>
      </c>
      <c r="BD53" s="305">
        <v>-1449.459</v>
      </c>
      <c r="BE53" s="305">
        <v>-11706.938</v>
      </c>
      <c r="BF53" s="305">
        <v>-297.241809</v>
      </c>
      <c r="BG53" s="305">
        <v>-24381.799</v>
      </c>
      <c r="BH53" s="67">
        <v>380</v>
      </c>
      <c r="BI53" s="0">
        <v>380</v>
      </c>
      <c r="BJ53" s="0" t="s">
        <v>114</v>
      </c>
      <c r="BK53" s="0">
        <v>1611.7936112514331</v>
      </c>
      <c r="BL53" s="0">
        <v>167072.55506217608</v>
      </c>
      <c r="BM53" s="0">
        <v>-6926.907</v>
      </c>
      <c r="BN53" s="0">
        <v>-6265.706</v>
      </c>
      <c r="BO53" s="0">
        <v>892.1553615</v>
      </c>
      <c r="BP53" s="0">
        <v>-17879.7985625</v>
      </c>
      <c r="BQ53" s="0">
        <v>366966833.3735711</v>
      </c>
      <c r="BR53" s="0">
        <v>376894999.70472264</v>
      </c>
      <c r="BS53" s="0">
        <v>387982608.70331675</v>
      </c>
      <c r="BT53" s="0">
        <v>419419706.54361844</v>
      </c>
      <c r="BU53" s="0">
        <v>243909231.54000858</v>
      </c>
      <c r="BV53" s="0">
        <v>350787470.52820694</v>
      </c>
      <c r="BW53" s="0">
        <v>352576091.67197591</v>
      </c>
      <c r="BX53" s="0">
        <v>557806137.90864646</v>
      </c>
      <c r="BY53" s="0">
        <v>560879758.88547575</v>
      </c>
      <c r="BZ53" s="0">
        <v>570334127.57247472</v>
      </c>
      <c r="CA53" s="0">
        <v>865044599.643574</v>
      </c>
      <c r="CB53" s="0">
        <v>-783.021885</v>
      </c>
      <c r="CC53" s="0">
        <v>-68.982205</v>
      </c>
      <c r="CD53" s="0">
        <v>444.9226755</v>
      </c>
      <c r="CE53" s="0">
        <v>-3684.7725364999997</v>
      </c>
      <c r="CF53" s="0">
        <v>1816.3673416557756</v>
      </c>
      <c r="CG53" s="0">
        <v>1365.7437694553357</v>
      </c>
      <c r="CH53" s="0">
        <v>245.02886686802447</v>
      </c>
      <c r="CI53" s="0">
        <v>-257.31392184469843</v>
      </c>
      <c r="CJ53" s="0">
        <v>-489.261735</v>
      </c>
      <c r="CK53" s="0">
        <v>-376.981195</v>
      </c>
      <c r="CL53" s="0">
        <v>41.49980075</v>
      </c>
      <c r="CM53" s="0">
        <v>-1480.34558325</v>
      </c>
      <c r="CN53" s="305">
        <v>186.825024565573</v>
      </c>
      <c r="CO53" s="305">
        <v>-197.80936417144991</v>
      </c>
      <c r="CP53" s="305">
        <v>377818189.01465422</v>
      </c>
      <c r="CQ53" s="0">
        <v>115.2567708004095</v>
      </c>
      <c r="CR53" s="0">
        <v>-138.36822606228671</v>
      </c>
      <c r="CS53" s="0">
        <v>5.6843770507289131</v>
      </c>
      <c r="CT53" s="0">
        <v>4.274136823661947</v>
      </c>
      <c r="CU53" s="0">
        <v>2132.6649438213763</v>
      </c>
      <c r="CV53" s="0">
        <v>18.54486</v>
      </c>
      <c r="CW53" s="0">
        <v>-322.179132</v>
      </c>
    </row>
    <row r="54">
      <c r="D54" s="0">
        <v>126</v>
      </c>
      <c r="E54" s="0" t="s">
        <v>132</v>
      </c>
      <c r="F54" s="0">
        <v>84600</v>
      </c>
      <c r="G54" s="0">
        <v>0</v>
      </c>
      <c r="H54" s="0">
        <v>1</v>
      </c>
      <c r="I54" s="0">
        <v>2800</v>
      </c>
      <c r="J54" s="0">
        <v>40</v>
      </c>
      <c r="K54" s="0">
        <v>1857.8945065927014</v>
      </c>
      <c r="L54" s="0">
        <v>30</v>
      </c>
      <c r="M54" s="0">
        <v>120</v>
      </c>
      <c r="N54" s="0">
        <v>3112.1111111111113</v>
      </c>
      <c r="O54" s="0">
        <v>14</v>
      </c>
      <c r="P54" s="0">
        <v>0.125</v>
      </c>
      <c r="Q54" s="0">
        <v>512</v>
      </c>
      <c r="R54" s="0">
        <v>290</v>
      </c>
      <c r="S54" s="0">
        <v>0</v>
      </c>
      <c r="T54" s="0">
        <v>0</v>
      </c>
      <c r="U54" s="0">
        <v>2400</v>
      </c>
      <c r="V54" s="0">
        <v>2400</v>
      </c>
      <c r="W54" s="0">
        <v>0</v>
      </c>
      <c r="X54" s="0">
        <v>0</v>
      </c>
      <c r="Y54" s="0">
        <v>6100</v>
      </c>
      <c r="Z54" s="0">
        <v>26144</v>
      </c>
      <c r="AA54" s="0">
        <v>5450</v>
      </c>
      <c r="AB54" s="0">
        <v>2</v>
      </c>
      <c r="AC54" s="0">
        <v>2500</v>
      </c>
      <c r="AD54" s="0">
        <v>2</v>
      </c>
      <c r="AE54" s="0">
        <v>10</v>
      </c>
      <c r="AF54" s="0">
        <v>160</v>
      </c>
      <c r="AG54" s="0">
        <v>0</v>
      </c>
      <c r="AH54" s="0">
        <v>0</v>
      </c>
      <c r="AI54" s="0">
        <v>0</v>
      </c>
      <c r="AJ54" s="0">
        <v>5428.6721054031623</v>
      </c>
      <c r="AK54" s="0">
        <v>5428.6721054031623</v>
      </c>
      <c r="AL54" s="0">
        <v>0</v>
      </c>
      <c r="AM54" s="305">
        <v>5000</v>
      </c>
      <c r="AN54" s="305">
        <v>778.02777777777783</v>
      </c>
      <c r="AO54" s="305">
        <v>380</v>
      </c>
      <c r="AP54" s="305">
        <v>380</v>
      </c>
      <c r="AQ54" s="305">
        <v>355</v>
      </c>
      <c r="AR54" s="305">
        <v>107.29133198016727</v>
      </c>
      <c r="AS54" s="305">
        <v>-104.61923370138074</v>
      </c>
      <c r="AT54" s="305">
        <v>1867.38609884656</v>
      </c>
      <c r="AU54" s="305">
        <v>1314.7250122645514</v>
      </c>
      <c r="AV54" s="305">
        <v>1896.2076392603926</v>
      </c>
      <c r="AW54" s="305">
        <v>-34.2118</v>
      </c>
      <c r="AX54" s="305">
        <v>-0.14265</v>
      </c>
      <c r="AY54" s="305">
        <v>-169.051274</v>
      </c>
      <c r="AZ54" s="305" t="s">
        <v>27</v>
      </c>
      <c r="BA54" s="305">
        <v>1284.7250122645514</v>
      </c>
      <c r="BB54" s="305">
        <v>-647.15067</v>
      </c>
      <c r="BC54" s="305">
        <v>-74.086152</v>
      </c>
      <c r="BD54" s="305">
        <v>-1380.312</v>
      </c>
      <c r="BE54" s="305">
        <v>-10530.879</v>
      </c>
      <c r="BF54" s="305">
        <v>-134.619336</v>
      </c>
      <c r="BG54" s="305">
        <v>-21905.749</v>
      </c>
      <c r="BH54" s="67">
        <v>380</v>
      </c>
      <c r="BI54" s="0">
        <v>380</v>
      </c>
      <c r="BJ54" s="0" t="s">
        <v>114</v>
      </c>
      <c r="BK54" s="0">
        <v>1611.7936112514331</v>
      </c>
      <c r="BL54" s="0">
        <v>167072.55506217608</v>
      </c>
      <c r="BM54" s="0">
        <v>-6099.211</v>
      </c>
      <c r="BN54" s="0">
        <v>-5621.678</v>
      </c>
      <c r="BO54" s="0">
        <v>1408.0343346875</v>
      </c>
      <c r="BP54" s="0">
        <v>-16388.959375</v>
      </c>
      <c r="BQ54" s="0">
        <v>366966833.3735711</v>
      </c>
      <c r="BR54" s="0">
        <v>376894999.70472264</v>
      </c>
      <c r="BS54" s="0">
        <v>387982608.70331675</v>
      </c>
      <c r="BT54" s="0">
        <v>419419706.54361844</v>
      </c>
      <c r="BU54" s="0">
        <v>243909231.54000858</v>
      </c>
      <c r="BV54" s="0">
        <v>350787470.52820694</v>
      </c>
      <c r="BW54" s="0">
        <v>352576091.67197591</v>
      </c>
      <c r="BX54" s="0">
        <v>557806137.90864646</v>
      </c>
      <c r="BY54" s="0">
        <v>560879758.88547575</v>
      </c>
      <c r="BZ54" s="0">
        <v>570334127.57247472</v>
      </c>
      <c r="CA54" s="0">
        <v>865044599.643574</v>
      </c>
      <c r="CB54" s="0">
        <v>-690.96926</v>
      </c>
      <c r="CC54" s="0">
        <v>-63.154792</v>
      </c>
      <c r="CD54" s="0">
        <v>530.0215405</v>
      </c>
      <c r="CE54" s="0">
        <v>-3372.7479055</v>
      </c>
      <c r="CF54" s="0">
        <v>1816.3673416557756</v>
      </c>
      <c r="CG54" s="0">
        <v>1365.7437694553357</v>
      </c>
      <c r="CH54" s="0">
        <v>220.70218364062873</v>
      </c>
      <c r="CI54" s="0">
        <v>-231.14494401736903</v>
      </c>
      <c r="CJ54" s="0">
        <v>-456.676735</v>
      </c>
      <c r="CK54" s="0">
        <v>-359.050695</v>
      </c>
      <c r="CL54" s="0">
        <v>65.817642249999992</v>
      </c>
      <c r="CM54" s="0">
        <v>-1389.54948025</v>
      </c>
      <c r="CN54" s="305">
        <v>168.19330001253516</v>
      </c>
      <c r="CO54" s="305">
        <v>-177.61368467802285</v>
      </c>
      <c r="CP54" s="305">
        <v>377818189.01465422</v>
      </c>
      <c r="CQ54" s="0">
        <v>102.90587333029832</v>
      </c>
      <c r="CR54" s="0">
        <v>-123.47367043199604</v>
      </c>
      <c r="CS54" s="0">
        <v>5.6671754323084169</v>
      </c>
      <c r="CT54" s="0">
        <v>4.2612027642106662</v>
      </c>
      <c r="CU54" s="0">
        <v>2132.6649438213763</v>
      </c>
      <c r="CV54" s="0">
        <v>28.666898</v>
      </c>
      <c r="CW54" s="0">
        <v>-303.285868</v>
      </c>
    </row>
    <row r="55">
      <c r="D55" s="0">
        <v>127</v>
      </c>
      <c r="E55" s="0" t="s">
        <v>126</v>
      </c>
      <c r="F55" s="0">
        <v>86350</v>
      </c>
      <c r="G55" s="0">
        <v>0</v>
      </c>
      <c r="H55" s="0">
        <v>2</v>
      </c>
      <c r="I55" s="0">
        <v>800</v>
      </c>
      <c r="J55" s="0">
        <v>40</v>
      </c>
      <c r="K55" s="0">
        <v>1877.2453976252716</v>
      </c>
      <c r="L55" s="0">
        <v>30</v>
      </c>
      <c r="M55" s="0">
        <v>120</v>
      </c>
      <c r="N55" s="0">
        <v>3035.1111111111113</v>
      </c>
      <c r="O55" s="0">
        <v>12</v>
      </c>
      <c r="P55" s="0">
        <v>0.125</v>
      </c>
      <c r="Q55" s="0">
        <v>356</v>
      </c>
      <c r="R55" s="0">
        <v>290</v>
      </c>
      <c r="S55" s="0">
        <v>0</v>
      </c>
      <c r="T55" s="0">
        <v>0</v>
      </c>
      <c r="U55" s="0">
        <v>2400</v>
      </c>
      <c r="V55" s="0">
        <v>2400</v>
      </c>
      <c r="W55" s="0">
        <v>0</v>
      </c>
      <c r="X55" s="0">
        <v>0</v>
      </c>
      <c r="Y55" s="0">
        <v>6100</v>
      </c>
      <c r="Z55" s="0">
        <v>26144</v>
      </c>
      <c r="AA55" s="0">
        <v>5450</v>
      </c>
      <c r="AB55" s="0">
        <v>2</v>
      </c>
      <c r="AC55" s="0">
        <v>2500</v>
      </c>
      <c r="AD55" s="0">
        <v>2</v>
      </c>
      <c r="AE55" s="0">
        <v>10</v>
      </c>
      <c r="AF55" s="0">
        <v>160</v>
      </c>
      <c r="AG55" s="0">
        <v>0</v>
      </c>
      <c r="AH55" s="0">
        <v>0</v>
      </c>
      <c r="AI55" s="0">
        <v>0</v>
      </c>
      <c r="AJ55" s="0">
        <v>5428.6721054031623</v>
      </c>
      <c r="AK55" s="0">
        <v>5428.6721054031623</v>
      </c>
      <c r="AL55" s="0">
        <v>0</v>
      </c>
      <c r="AM55" s="305">
        <v>5000</v>
      </c>
      <c r="AN55" s="305">
        <v>758.77777777777783</v>
      </c>
      <c r="AO55" s="305">
        <v>380</v>
      </c>
      <c r="AP55" s="305">
        <v>380</v>
      </c>
      <c r="AQ55" s="305">
        <v>355</v>
      </c>
      <c r="AR55" s="305">
        <v>173.15546837031098</v>
      </c>
      <c r="AS55" s="305">
        <v>-124.69275575924098</v>
      </c>
      <c r="AT55" s="305">
        <v>1996.6981124119927</v>
      </c>
      <c r="AU55" s="305">
        <v>1108.4129986991186</v>
      </c>
      <c r="AV55" s="305">
        <v>1567.7146745392427</v>
      </c>
      <c r="AW55" s="305">
        <v>-34.2118</v>
      </c>
      <c r="AX55" s="305">
        <v>-0.14265</v>
      </c>
      <c r="AY55" s="305">
        <v>-169.051274</v>
      </c>
      <c r="AZ55" s="305" t="s">
        <v>27</v>
      </c>
      <c r="BA55" s="305">
        <v>1078.4129986991186</v>
      </c>
      <c r="BB55" s="305">
        <v>-647.15067</v>
      </c>
      <c r="BC55" s="305">
        <v>-74.086152</v>
      </c>
      <c r="BD55" s="305">
        <v>-1380.312</v>
      </c>
      <c r="BE55" s="305">
        <v>-10530.879</v>
      </c>
      <c r="BF55" s="305">
        <v>-134.619336</v>
      </c>
      <c r="BG55" s="305">
        <v>-21905.749</v>
      </c>
      <c r="BH55" s="67">
        <v>380</v>
      </c>
      <c r="BI55" s="0">
        <v>380</v>
      </c>
      <c r="BJ55" s="0" t="s">
        <v>114</v>
      </c>
      <c r="BK55" s="0">
        <v>2202.7481355773421</v>
      </c>
      <c r="BL55" s="0">
        <v>118766.16265572957</v>
      </c>
      <c r="BM55" s="0">
        <v>-6099.211</v>
      </c>
      <c r="BN55" s="0">
        <v>-5621.678</v>
      </c>
      <c r="BO55" s="0">
        <v>1408.0343346875</v>
      </c>
      <c r="BP55" s="0">
        <v>-16388.959375</v>
      </c>
      <c r="BQ55" s="0">
        <v>227896665.60535771</v>
      </c>
      <c r="BR55" s="0">
        <v>233309046.29035455</v>
      </c>
      <c r="BS55" s="0">
        <v>244235113.3926222</v>
      </c>
      <c r="BT55" s="0">
        <v>272011764.979555</v>
      </c>
      <c r="BU55" s="0">
        <v>218395359.84707573</v>
      </c>
      <c r="BV55" s="0">
        <v>292119314.89940554</v>
      </c>
      <c r="BW55" s="0">
        <v>294789612.98389703</v>
      </c>
      <c r="BX55" s="0">
        <v>442857011.66902626</v>
      </c>
      <c r="BY55" s="0">
        <v>442180185.49069059</v>
      </c>
      <c r="BZ55" s="0">
        <v>454394623.78088439</v>
      </c>
      <c r="CA55" s="0">
        <v>768522973.510122</v>
      </c>
      <c r="CB55" s="0">
        <v>-690.96926</v>
      </c>
      <c r="CC55" s="0">
        <v>-63.154792</v>
      </c>
      <c r="CD55" s="0">
        <v>530.0215405</v>
      </c>
      <c r="CE55" s="0">
        <v>-3372.7479055</v>
      </c>
      <c r="CF55" s="0">
        <v>1923.5981098709322</v>
      </c>
      <c r="CG55" s="0">
        <v>1181.5130012401792</v>
      </c>
      <c r="CH55" s="0">
        <v>350.05784707556563</v>
      </c>
      <c r="CI55" s="0">
        <v>-275.86195210656228</v>
      </c>
      <c r="CJ55" s="0">
        <v>-456.676735</v>
      </c>
      <c r="CK55" s="0">
        <v>-359.050695</v>
      </c>
      <c r="CL55" s="0">
        <v>65.817642249999992</v>
      </c>
      <c r="CM55" s="0">
        <v>-1389.54948025</v>
      </c>
      <c r="CN55" s="305">
        <v>267.0076517625053</v>
      </c>
      <c r="CO55" s="305">
        <v>-211.69450709098859</v>
      </c>
      <c r="CP55" s="305">
        <v>246393757.15451628</v>
      </c>
      <c r="CQ55" s="0">
        <v>165.66396964597712</v>
      </c>
      <c r="CR55" s="0">
        <v>-144.51483096946402</v>
      </c>
      <c r="CS55" s="0">
        <v>8.7383170978970526</v>
      </c>
      <c r="CT55" s="0">
        <v>5.3672517180927448</v>
      </c>
      <c r="CU55" s="0">
        <v>1336.186617354542</v>
      </c>
      <c r="CV55" s="0">
        <v>28.666898</v>
      </c>
      <c r="CW55" s="0">
        <v>-303.285868</v>
      </c>
    </row>
    <row r="56">
      <c r="D56" s="0">
        <v>127</v>
      </c>
      <c r="E56" s="0" t="s">
        <v>126</v>
      </c>
      <c r="F56" s="0">
        <v>86350</v>
      </c>
      <c r="G56" s="0">
        <v>0</v>
      </c>
      <c r="H56" s="0">
        <v>2</v>
      </c>
      <c r="I56" s="0">
        <v>800</v>
      </c>
      <c r="J56" s="0">
        <v>40</v>
      </c>
      <c r="K56" s="0">
        <v>1877.2453976252716</v>
      </c>
      <c r="L56" s="0">
        <v>30</v>
      </c>
      <c r="M56" s="0">
        <v>120</v>
      </c>
      <c r="N56" s="0">
        <v>3035.1111111111113</v>
      </c>
      <c r="O56" s="0">
        <v>12</v>
      </c>
      <c r="P56" s="0">
        <v>0.125</v>
      </c>
      <c r="Q56" s="0">
        <v>356</v>
      </c>
      <c r="R56" s="0">
        <v>290</v>
      </c>
      <c r="S56" s="0">
        <v>0</v>
      </c>
      <c r="T56" s="0">
        <v>0</v>
      </c>
      <c r="U56" s="0">
        <v>2400</v>
      </c>
      <c r="V56" s="0">
        <v>2400</v>
      </c>
      <c r="W56" s="0">
        <v>0</v>
      </c>
      <c r="X56" s="0">
        <v>0</v>
      </c>
      <c r="Y56" s="0">
        <v>6100</v>
      </c>
      <c r="Z56" s="0">
        <v>26144</v>
      </c>
      <c r="AA56" s="0">
        <v>5450</v>
      </c>
      <c r="AB56" s="0">
        <v>2</v>
      </c>
      <c r="AC56" s="0">
        <v>2500</v>
      </c>
      <c r="AD56" s="0">
        <v>2</v>
      </c>
      <c r="AE56" s="0">
        <v>10</v>
      </c>
      <c r="AF56" s="0">
        <v>160</v>
      </c>
      <c r="AG56" s="0">
        <v>0</v>
      </c>
      <c r="AH56" s="0">
        <v>0</v>
      </c>
      <c r="AI56" s="0">
        <v>0</v>
      </c>
      <c r="AJ56" s="0">
        <v>5428.6721054031623</v>
      </c>
      <c r="AK56" s="0">
        <v>5428.6721054031623</v>
      </c>
      <c r="AL56" s="0">
        <v>0</v>
      </c>
      <c r="AM56" s="305">
        <v>5000</v>
      </c>
      <c r="AN56" s="305">
        <v>758.77777777777783</v>
      </c>
      <c r="AO56" s="305">
        <v>380</v>
      </c>
      <c r="AP56" s="305">
        <v>380</v>
      </c>
      <c r="AQ56" s="305">
        <v>355</v>
      </c>
      <c r="AR56" s="305">
        <v>146.47788352269754</v>
      </c>
      <c r="AS56" s="305">
        <v>-105.35987258276286</v>
      </c>
      <c r="AT56" s="305">
        <v>1996.6981124119927</v>
      </c>
      <c r="AU56" s="305">
        <v>1108.4129986991186</v>
      </c>
      <c r="AV56" s="305">
        <v>1567.7146745392427</v>
      </c>
      <c r="AW56" s="305">
        <v>-34.2118</v>
      </c>
      <c r="AX56" s="305">
        <v>-0.14265</v>
      </c>
      <c r="AY56" s="305">
        <v>-136.947368</v>
      </c>
      <c r="AZ56" s="305" t="s">
        <v>27</v>
      </c>
      <c r="BA56" s="305">
        <v>1078.4129986991186</v>
      </c>
      <c r="BB56" s="305">
        <v>-593.043372</v>
      </c>
      <c r="BC56" s="305">
        <v>-36.662128</v>
      </c>
      <c r="BD56" s="305">
        <v>-1281.531</v>
      </c>
      <c r="BE56" s="305">
        <v>-8980.636</v>
      </c>
      <c r="BF56" s="305">
        <v>3.816014</v>
      </c>
      <c r="BG56" s="305">
        <v>-18578.445</v>
      </c>
      <c r="BH56" s="67">
        <v>380</v>
      </c>
      <c r="BI56" s="0">
        <v>380</v>
      </c>
      <c r="BJ56" s="0" t="s">
        <v>114</v>
      </c>
      <c r="BK56" s="0">
        <v>2202.7481355773421</v>
      </c>
      <c r="BL56" s="0">
        <v>118766.16265572957</v>
      </c>
      <c r="BM56" s="0">
        <v>-5015.707</v>
      </c>
      <c r="BN56" s="0">
        <v>-4756.07</v>
      </c>
      <c r="BO56" s="0">
        <v>2356.621559</v>
      </c>
      <c r="BP56" s="0">
        <v>-14538.7515625</v>
      </c>
      <c r="BQ56" s="0">
        <v>227896665.60535771</v>
      </c>
      <c r="BR56" s="0">
        <v>233309046.29035455</v>
      </c>
      <c r="BS56" s="0">
        <v>244235113.3926222</v>
      </c>
      <c r="BT56" s="0">
        <v>272011764.979555</v>
      </c>
      <c r="BU56" s="0">
        <v>218395359.84707573</v>
      </c>
      <c r="BV56" s="0">
        <v>292119314.89940554</v>
      </c>
      <c r="BW56" s="0">
        <v>294789612.98389703</v>
      </c>
      <c r="BX56" s="0">
        <v>442857011.66902626</v>
      </c>
      <c r="BY56" s="0">
        <v>442180185.49069059</v>
      </c>
      <c r="BZ56" s="0">
        <v>454394623.78088439</v>
      </c>
      <c r="CA56" s="0">
        <v>768522973.510122</v>
      </c>
      <c r="CB56" s="0">
        <v>-559.46551</v>
      </c>
      <c r="CC56" s="0">
        <v>-54.829917</v>
      </c>
      <c r="CD56" s="0">
        <v>673.83061625</v>
      </c>
      <c r="CE56" s="0">
        <v>-2940.6405959999997</v>
      </c>
      <c r="CF56" s="0">
        <v>1923.5981098709322</v>
      </c>
      <c r="CG56" s="0">
        <v>1181.5130012401792</v>
      </c>
      <c r="CH56" s="0">
        <v>299.86372079745729</v>
      </c>
      <c r="CI56" s="0">
        <v>-235.43977914056177</v>
      </c>
      <c r="CJ56" s="0">
        <v>-410.126735</v>
      </c>
      <c r="CK56" s="0">
        <v>-333.435695</v>
      </c>
      <c r="CL56" s="0">
        <v>104.71063149999999</v>
      </c>
      <c r="CM56" s="0">
        <v>-1264.0350450625</v>
      </c>
      <c r="CN56" s="305">
        <v>228.51345413389112</v>
      </c>
      <c r="CO56" s="305">
        <v>-180.52894500633315</v>
      </c>
      <c r="CP56" s="305">
        <v>246393757.15451628</v>
      </c>
      <c r="CQ56" s="0">
        <v>139.5564532245424</v>
      </c>
      <c r="CR56" s="0">
        <v>-121.71688423342891</v>
      </c>
      <c r="CS56" s="0">
        <v>8.820395654321544</v>
      </c>
      <c r="CT56" s="0">
        <v>5.41766603334962</v>
      </c>
      <c r="CU56" s="0">
        <v>1336.186617354542</v>
      </c>
      <c r="CV56" s="0">
        <v>44.326882</v>
      </c>
      <c r="CW56" s="0">
        <v>-275.869326</v>
      </c>
    </row>
    <row r="57">
      <c r="D57" s="0">
        <v>128</v>
      </c>
      <c r="E57" s="0" t="s">
        <v>132</v>
      </c>
      <c r="F57" s="0">
        <v>88850</v>
      </c>
      <c r="G57" s="0">
        <v>0</v>
      </c>
      <c r="H57" s="0">
        <v>2</v>
      </c>
      <c r="I57" s="0">
        <v>800</v>
      </c>
      <c r="J57" s="0">
        <v>40</v>
      </c>
      <c r="K57" s="0">
        <v>1900.142555845629</v>
      </c>
      <c r="L57" s="0">
        <v>30</v>
      </c>
      <c r="M57" s="0">
        <v>120</v>
      </c>
      <c r="N57" s="0">
        <v>2944</v>
      </c>
      <c r="O57" s="0">
        <v>12</v>
      </c>
      <c r="P57" s="0">
        <v>0.125</v>
      </c>
      <c r="Q57" s="0">
        <v>356</v>
      </c>
      <c r="R57" s="0">
        <v>290</v>
      </c>
      <c r="S57" s="0">
        <v>0</v>
      </c>
      <c r="T57" s="0">
        <v>0</v>
      </c>
      <c r="U57" s="0">
        <v>2400</v>
      </c>
      <c r="V57" s="0">
        <v>2400</v>
      </c>
      <c r="W57" s="0">
        <v>0</v>
      </c>
      <c r="X57" s="0">
        <v>0</v>
      </c>
      <c r="Y57" s="0">
        <v>6100</v>
      </c>
      <c r="Z57" s="0">
        <v>26144</v>
      </c>
      <c r="AA57" s="0">
        <v>5450</v>
      </c>
      <c r="AB57" s="0">
        <v>2</v>
      </c>
      <c r="AC57" s="0">
        <v>2500</v>
      </c>
      <c r="AD57" s="0">
        <v>2</v>
      </c>
      <c r="AE57" s="0">
        <v>10</v>
      </c>
      <c r="AF57" s="0">
        <v>160</v>
      </c>
      <c r="AG57" s="0">
        <v>0</v>
      </c>
      <c r="AH57" s="0">
        <v>0</v>
      </c>
      <c r="AI57" s="0">
        <v>0</v>
      </c>
      <c r="AJ57" s="0">
        <v>5428.6721054031623</v>
      </c>
      <c r="AK57" s="0">
        <v>5428.6721054031623</v>
      </c>
      <c r="AL57" s="0">
        <v>0</v>
      </c>
      <c r="AM57" s="305">
        <v>5000</v>
      </c>
      <c r="AN57" s="305">
        <v>736</v>
      </c>
      <c r="AO57" s="305">
        <v>380</v>
      </c>
      <c r="AP57" s="305">
        <v>380</v>
      </c>
      <c r="AQ57" s="305">
        <v>355</v>
      </c>
      <c r="AR57" s="305">
        <v>151.85010794833747</v>
      </c>
      <c r="AS57" s="305">
        <v>-108.21337179275187</v>
      </c>
      <c r="AT57" s="305">
        <v>1945.6705200916008</v>
      </c>
      <c r="AU57" s="305">
        <v>1068.3294799083992</v>
      </c>
      <c r="AV57" s="305">
        <v>1515.7814626928455</v>
      </c>
      <c r="AW57" s="305">
        <v>-34.2118</v>
      </c>
      <c r="AX57" s="305">
        <v>-0.14265</v>
      </c>
      <c r="AY57" s="305">
        <v>-136.947368</v>
      </c>
      <c r="AZ57" s="305" t="s">
        <v>27</v>
      </c>
      <c r="BA57" s="305">
        <v>1038.3294799083992</v>
      </c>
      <c r="BB57" s="305">
        <v>-593.043372</v>
      </c>
      <c r="BC57" s="305">
        <v>-36.662128</v>
      </c>
      <c r="BD57" s="305">
        <v>-1281.531</v>
      </c>
      <c r="BE57" s="305">
        <v>-8980.636</v>
      </c>
      <c r="BF57" s="305">
        <v>3.816014</v>
      </c>
      <c r="BG57" s="305">
        <v>-18578.445</v>
      </c>
      <c r="BH57" s="67">
        <v>380</v>
      </c>
      <c r="BI57" s="0">
        <v>380</v>
      </c>
      <c r="BJ57" s="0" t="s">
        <v>114</v>
      </c>
      <c r="BK57" s="0">
        <v>2186.5119865259226</v>
      </c>
      <c r="BL57" s="0">
        <v>114798.65536147244</v>
      </c>
      <c r="BM57" s="0">
        <v>-5015.707</v>
      </c>
      <c r="BN57" s="0">
        <v>-4756.07</v>
      </c>
      <c r="BO57" s="0">
        <v>2356.621559</v>
      </c>
      <c r="BP57" s="0">
        <v>-14538.7515625</v>
      </c>
      <c r="BQ57" s="0">
        <v>220264747.97216556</v>
      </c>
      <c r="BR57" s="0">
        <v>225169026.42505753</v>
      </c>
      <c r="BS57" s="0">
        <v>235825706.82990027</v>
      </c>
      <c r="BT57" s="0">
        <v>262468762.39594126</v>
      </c>
      <c r="BU57" s="0">
        <v>212489413.07927269</v>
      </c>
      <c r="BV57" s="0">
        <v>284579076.34013313</v>
      </c>
      <c r="BW57" s="0">
        <v>287199748.29312944</v>
      </c>
      <c r="BX57" s="0">
        <v>431658692.63391483</v>
      </c>
      <c r="BY57" s="0">
        <v>431254114.6051563</v>
      </c>
      <c r="BZ57" s="0">
        <v>443328543.32908869</v>
      </c>
      <c r="CA57" s="0">
        <v>743445433.60060728</v>
      </c>
      <c r="CB57" s="0">
        <v>-559.46551</v>
      </c>
      <c r="CC57" s="0">
        <v>-54.829917</v>
      </c>
      <c r="CD57" s="0">
        <v>673.83061625</v>
      </c>
      <c r="CE57" s="0">
        <v>-2940.6405959999997</v>
      </c>
      <c r="CF57" s="0">
        <v>1874.3233539763376</v>
      </c>
      <c r="CG57" s="0">
        <v>1139.6766460236624</v>
      </c>
      <c r="CH57" s="0">
        <v>310.62309921695538</v>
      </c>
      <c r="CI57" s="0">
        <v>-241.70885699083178</v>
      </c>
      <c r="CJ57" s="0">
        <v>-410.126735</v>
      </c>
      <c r="CK57" s="0">
        <v>-333.435695</v>
      </c>
      <c r="CL57" s="0">
        <v>104.71063149999999</v>
      </c>
      <c r="CM57" s="0">
        <v>-1264.0350450625</v>
      </c>
      <c r="CN57" s="305">
        <v>236.71000900785026</v>
      </c>
      <c r="CO57" s="305">
        <v>-185.33969834530916</v>
      </c>
      <c r="CP57" s="305">
        <v>237162316.13790664</v>
      </c>
      <c r="CQ57" s="0">
        <v>144.53227001217493</v>
      </c>
      <c r="CR57" s="0">
        <v>-124.9940854703441</v>
      </c>
      <c r="CS57" s="0">
        <v>9.1410930879868424</v>
      </c>
      <c r="CT57" s="0">
        <v>5.5582140026189162</v>
      </c>
      <c r="CU57" s="0">
        <v>1329.0046822632357</v>
      </c>
      <c r="CV57" s="0">
        <v>44.326882</v>
      </c>
      <c r="CW57" s="0">
        <v>-275.869326</v>
      </c>
    </row>
    <row r="58">
      <c r="D58" s="0">
        <v>128</v>
      </c>
      <c r="E58" s="0" t="s">
        <v>132</v>
      </c>
      <c r="F58" s="0">
        <v>88850</v>
      </c>
      <c r="G58" s="0">
        <v>0</v>
      </c>
      <c r="H58" s="0">
        <v>2</v>
      </c>
      <c r="I58" s="0">
        <v>800</v>
      </c>
      <c r="J58" s="0">
        <v>40</v>
      </c>
      <c r="K58" s="0">
        <v>1900.142555845629</v>
      </c>
      <c r="L58" s="0">
        <v>30</v>
      </c>
      <c r="M58" s="0">
        <v>120</v>
      </c>
      <c r="N58" s="0">
        <v>2944</v>
      </c>
      <c r="O58" s="0">
        <v>12</v>
      </c>
      <c r="P58" s="0">
        <v>0.125</v>
      </c>
      <c r="Q58" s="0">
        <v>356</v>
      </c>
      <c r="R58" s="0">
        <v>290</v>
      </c>
      <c r="S58" s="0">
        <v>0</v>
      </c>
      <c r="T58" s="0">
        <v>0</v>
      </c>
      <c r="U58" s="0">
        <v>2400</v>
      </c>
      <c r="V58" s="0">
        <v>2400</v>
      </c>
      <c r="W58" s="0">
        <v>0</v>
      </c>
      <c r="X58" s="0">
        <v>0</v>
      </c>
      <c r="Y58" s="0">
        <v>6100</v>
      </c>
      <c r="Z58" s="0">
        <v>26144</v>
      </c>
      <c r="AA58" s="0">
        <v>5450</v>
      </c>
      <c r="AB58" s="0">
        <v>2</v>
      </c>
      <c r="AC58" s="0">
        <v>2500</v>
      </c>
      <c r="AD58" s="0">
        <v>2</v>
      </c>
      <c r="AE58" s="0">
        <v>10</v>
      </c>
      <c r="AF58" s="0">
        <v>160</v>
      </c>
      <c r="AG58" s="0">
        <v>0</v>
      </c>
      <c r="AH58" s="0">
        <v>0</v>
      </c>
      <c r="AI58" s="0">
        <v>0</v>
      </c>
      <c r="AJ58" s="0">
        <v>5428.6721054031623</v>
      </c>
      <c r="AK58" s="0">
        <v>5428.6721054031623</v>
      </c>
      <c r="AL58" s="0">
        <v>0</v>
      </c>
      <c r="AM58" s="305">
        <v>5000</v>
      </c>
      <c r="AN58" s="305">
        <v>736</v>
      </c>
      <c r="AO58" s="305">
        <v>380</v>
      </c>
      <c r="AP58" s="305">
        <v>380</v>
      </c>
      <c r="AQ58" s="305">
        <v>355</v>
      </c>
      <c r="AR58" s="305">
        <v>126.83555891507076</v>
      </c>
      <c r="AS58" s="305">
        <v>-90.4398447623301</v>
      </c>
      <c r="AT58" s="305">
        <v>1945.6705200916008</v>
      </c>
      <c r="AU58" s="305">
        <v>1068.3294799083992</v>
      </c>
      <c r="AV58" s="305">
        <v>1515.7814626928455</v>
      </c>
      <c r="AW58" s="305">
        <v>-34.2118</v>
      </c>
      <c r="AX58" s="305">
        <v>-0.14265</v>
      </c>
      <c r="AY58" s="305">
        <v>-104.843462</v>
      </c>
      <c r="AZ58" s="305" t="s">
        <v>27</v>
      </c>
      <c r="BA58" s="305">
        <v>1038.3294799083992</v>
      </c>
      <c r="BB58" s="305">
        <v>-539.352855</v>
      </c>
      <c r="BC58" s="305">
        <v>1.271358</v>
      </c>
      <c r="BD58" s="305">
        <v>-1182.75</v>
      </c>
      <c r="BE58" s="305">
        <v>-7565.141</v>
      </c>
      <c r="BF58" s="305">
        <v>48.054476</v>
      </c>
      <c r="BG58" s="305">
        <v>-15498.095</v>
      </c>
      <c r="BH58" s="67">
        <v>380</v>
      </c>
      <c r="BI58" s="0">
        <v>380</v>
      </c>
      <c r="BJ58" s="0" t="s">
        <v>114</v>
      </c>
      <c r="BK58" s="0">
        <v>2186.5119865259226</v>
      </c>
      <c r="BL58" s="0">
        <v>114798.65536147244</v>
      </c>
      <c r="BM58" s="0">
        <v>-4048.578</v>
      </c>
      <c r="BN58" s="0">
        <v>-3954.5</v>
      </c>
      <c r="BO58" s="0">
        <v>3270.733435</v>
      </c>
      <c r="BP58" s="0">
        <v>-12973.02675</v>
      </c>
      <c r="BQ58" s="0">
        <v>220264747.97216556</v>
      </c>
      <c r="BR58" s="0">
        <v>225169026.42505753</v>
      </c>
      <c r="BS58" s="0">
        <v>235825706.82990027</v>
      </c>
      <c r="BT58" s="0">
        <v>262468762.39594126</v>
      </c>
      <c r="BU58" s="0">
        <v>212489413.07927269</v>
      </c>
      <c r="BV58" s="0">
        <v>284579076.34013313</v>
      </c>
      <c r="BW58" s="0">
        <v>287199748.29312944</v>
      </c>
      <c r="BX58" s="0">
        <v>431658692.63391483</v>
      </c>
      <c r="BY58" s="0">
        <v>431254114.6051563</v>
      </c>
      <c r="BZ58" s="0">
        <v>443328543.32908869</v>
      </c>
      <c r="CA58" s="0">
        <v>743445433.60060728</v>
      </c>
      <c r="CB58" s="0">
        <v>-427.96176</v>
      </c>
      <c r="CC58" s="0">
        <v>-46.505042</v>
      </c>
      <c r="CD58" s="0">
        <v>890.3722175</v>
      </c>
      <c r="CE58" s="0">
        <v>-2549.900003</v>
      </c>
      <c r="CF58" s="0">
        <v>1874.3233539763376</v>
      </c>
      <c r="CG58" s="0">
        <v>1139.6766460236624</v>
      </c>
      <c r="CH58" s="0">
        <v>264.27646094541296</v>
      </c>
      <c r="CI58" s="0">
        <v>-204.66667858075422</v>
      </c>
      <c r="CJ58" s="0">
        <v>-363.576735</v>
      </c>
      <c r="CK58" s="0">
        <v>-307.820695</v>
      </c>
      <c r="CL58" s="0">
        <v>158.5164315</v>
      </c>
      <c r="CM58" s="0">
        <v>-1147.2458205625</v>
      </c>
      <c r="CN58" s="305">
        <v>201.14764966957705</v>
      </c>
      <c r="CO58" s="305">
        <v>-156.77196450782239</v>
      </c>
      <c r="CP58" s="305">
        <v>237162316.13790664</v>
      </c>
      <c r="CQ58" s="0">
        <v>120.12389256938761</v>
      </c>
      <c r="CR58" s="0">
        <v>-103.93273332515696</v>
      </c>
      <c r="CS58" s="0">
        <v>9.1589142544270015</v>
      </c>
      <c r="CT58" s="0">
        <v>5.56905010896826</v>
      </c>
      <c r="CU58" s="0">
        <v>1329.0046822632357</v>
      </c>
      <c r="CV58" s="0">
        <v>65.885278</v>
      </c>
      <c r="CW58" s="0">
        <v>-249.171667</v>
      </c>
    </row>
    <row r="59">
      <c r="D59" s="0">
        <v>129</v>
      </c>
      <c r="E59" s="0" t="s">
        <v>130</v>
      </c>
      <c r="F59" s="0">
        <v>91350</v>
      </c>
      <c r="G59" s="0">
        <v>0</v>
      </c>
      <c r="H59" s="0">
        <v>2</v>
      </c>
      <c r="I59" s="0">
        <v>600</v>
      </c>
      <c r="J59" s="0">
        <v>40</v>
      </c>
      <c r="K59" s="0">
        <v>1917.4550413293136</v>
      </c>
      <c r="L59" s="0">
        <v>30</v>
      </c>
      <c r="M59" s="0">
        <v>120</v>
      </c>
      <c r="N59" s="0">
        <v>2875.1111111111113</v>
      </c>
      <c r="O59" s="0">
        <v>12</v>
      </c>
      <c r="P59" s="0">
        <v>0.125</v>
      </c>
      <c r="Q59" s="0">
        <v>0</v>
      </c>
      <c r="R59" s="0">
        <v>290</v>
      </c>
      <c r="S59" s="0">
        <v>0</v>
      </c>
      <c r="T59" s="0">
        <v>0</v>
      </c>
      <c r="U59" s="0">
        <v>2400</v>
      </c>
      <c r="V59" s="0">
        <v>2400</v>
      </c>
      <c r="W59" s="0">
        <v>0</v>
      </c>
      <c r="X59" s="0">
        <v>0</v>
      </c>
      <c r="Y59" s="0">
        <v>6100</v>
      </c>
      <c r="Z59" s="0">
        <v>39496</v>
      </c>
      <c r="AA59" s="0">
        <v>5450</v>
      </c>
      <c r="AB59" s="0">
        <v>2</v>
      </c>
      <c r="AC59" s="0">
        <v>2500</v>
      </c>
      <c r="AD59" s="0">
        <v>2</v>
      </c>
      <c r="AE59" s="0">
        <v>10</v>
      </c>
      <c r="AF59" s="0">
        <v>160</v>
      </c>
      <c r="AG59" s="0">
        <v>0</v>
      </c>
      <c r="AH59" s="0">
        <v>0</v>
      </c>
      <c r="AI59" s="0">
        <v>0</v>
      </c>
      <c r="AJ59" s="0">
        <v>5428.6721054031623</v>
      </c>
      <c r="AK59" s="0">
        <v>5428.6721054031623</v>
      </c>
      <c r="AL59" s="0">
        <v>0</v>
      </c>
      <c r="AM59" s="305">
        <v>5000</v>
      </c>
      <c r="AN59" s="305">
        <v>718.77777777777783</v>
      </c>
      <c r="AO59" s="305">
        <v>380</v>
      </c>
      <c r="AP59" s="305">
        <v>380</v>
      </c>
      <c r="AQ59" s="305">
        <v>355</v>
      </c>
      <c r="AR59" s="305">
        <v>164.87892591422596</v>
      </c>
      <c r="AS59" s="305">
        <v>-142.80932934532802</v>
      </c>
      <c r="AT59" s="305">
        <v>1578.1777445110158</v>
      </c>
      <c r="AU59" s="305">
        <v>1366.9333666000955</v>
      </c>
      <c r="AV59" s="305">
        <v>1347.3376742288108</v>
      </c>
      <c r="AW59" s="305">
        <v>-17.032818</v>
      </c>
      <c r="AX59" s="305">
        <v>-0.089094</v>
      </c>
      <c r="AY59" s="305">
        <v>-127.378359</v>
      </c>
      <c r="AZ59" s="305" t="s">
        <v>27</v>
      </c>
      <c r="BA59" s="305">
        <v>1336.9333666000955</v>
      </c>
      <c r="BB59" s="305">
        <v>-523.865621</v>
      </c>
      <c r="BC59" s="305">
        <v>1.240708</v>
      </c>
      <c r="BD59" s="305">
        <v>-1173.324</v>
      </c>
      <c r="BE59" s="305">
        <v>-7565.141</v>
      </c>
      <c r="BF59" s="305">
        <v>48.054475</v>
      </c>
      <c r="BG59" s="305">
        <v>-15498.095</v>
      </c>
      <c r="BH59" s="67">
        <v>380</v>
      </c>
      <c r="BI59" s="0">
        <v>380</v>
      </c>
      <c r="BJ59" s="0" t="s">
        <v>114</v>
      </c>
      <c r="BK59" s="0">
        <v>1466.2064153357815</v>
      </c>
      <c r="BL59" s="0">
        <v>84599.485093609837</v>
      </c>
      <c r="BM59" s="0">
        <v>-4048.578</v>
      </c>
      <c r="BN59" s="0">
        <v>-3954.5</v>
      </c>
      <c r="BO59" s="0">
        <v>3270.7310924999997</v>
      </c>
      <c r="BP59" s="0">
        <v>-12973.027750000001</v>
      </c>
      <c r="BQ59" s="0">
        <v>174485470.15169376</v>
      </c>
      <c r="BR59" s="0">
        <v>174485470.15169376</v>
      </c>
      <c r="BS59" s="0">
        <v>184795436.20019749</v>
      </c>
      <c r="BT59" s="0">
        <v>205501798.23495039</v>
      </c>
      <c r="BU59" s="0">
        <v>201450262.655345</v>
      </c>
      <c r="BV59" s="0">
        <v>201450262.655345</v>
      </c>
      <c r="BW59" s="0">
        <v>203831828.3547883</v>
      </c>
      <c r="BX59" s="0">
        <v>208027665.44005728</v>
      </c>
      <c r="BY59" s="0">
        <v>205970688.30305648</v>
      </c>
      <c r="BZ59" s="0">
        <v>212381041.12885177</v>
      </c>
      <c r="CA59" s="0">
        <v>701672693.68041158</v>
      </c>
      <c r="CB59" s="0">
        <v>-544.664912</v>
      </c>
      <c r="CC59" s="0">
        <v>-45.521405</v>
      </c>
      <c r="CD59" s="0">
        <v>612.3297121875</v>
      </c>
      <c r="CE59" s="0">
        <v>-2970.9603125000003</v>
      </c>
      <c r="CF59" s="0">
        <v>1481.5500290144018</v>
      </c>
      <c r="CG59" s="0">
        <v>1463.5610820967095</v>
      </c>
      <c r="CH59" s="0">
        <v>337.99483675526892</v>
      </c>
      <c r="CI59" s="0">
        <v>-308.990112111505</v>
      </c>
      <c r="CJ59" s="0">
        <v>-382.291835</v>
      </c>
      <c r="CK59" s="0">
        <v>-304.277125</v>
      </c>
      <c r="CL59" s="0">
        <v>97.4450215</v>
      </c>
      <c r="CM59" s="0">
        <v>-1230.4068016249998</v>
      </c>
      <c r="CN59" s="305">
        <v>257.278006708425</v>
      </c>
      <c r="CO59" s="305">
        <v>-234.58124585518584</v>
      </c>
      <c r="CP59" s="305">
        <v>181059849.47468662</v>
      </c>
      <c r="CQ59" s="0">
        <v>153.81157138988462</v>
      </c>
      <c r="CR59" s="0">
        <v>-134.10980800153976</v>
      </c>
      <c r="CS59" s="0">
        <v>11.697846568240664</v>
      </c>
      <c r="CT59" s="0">
        <v>11.5558115799876</v>
      </c>
      <c r="CU59" s="0">
        <v>1324.277771689149</v>
      </c>
      <c r="CV59" s="0">
        <v>36.711341</v>
      </c>
      <c r="CW59" s="0">
        <v>-274.879295</v>
      </c>
    </row>
    <row r="60">
      <c r="D60" s="0">
        <v>129</v>
      </c>
      <c r="E60" s="0" t="s">
        <v>130</v>
      </c>
      <c r="F60" s="0">
        <v>91350</v>
      </c>
      <c r="G60" s="0">
        <v>0</v>
      </c>
      <c r="H60" s="0">
        <v>2</v>
      </c>
      <c r="I60" s="0">
        <v>600</v>
      </c>
      <c r="J60" s="0">
        <v>40</v>
      </c>
      <c r="K60" s="0">
        <v>1917.4550413293136</v>
      </c>
      <c r="L60" s="0">
        <v>30</v>
      </c>
      <c r="M60" s="0">
        <v>120</v>
      </c>
      <c r="N60" s="0">
        <v>2875.1111111111113</v>
      </c>
      <c r="O60" s="0">
        <v>12</v>
      </c>
      <c r="P60" s="0">
        <v>0.125</v>
      </c>
      <c r="Q60" s="0">
        <v>0</v>
      </c>
      <c r="R60" s="0">
        <v>290</v>
      </c>
      <c r="S60" s="0">
        <v>0</v>
      </c>
      <c r="T60" s="0">
        <v>0</v>
      </c>
      <c r="U60" s="0">
        <v>2400</v>
      </c>
      <c r="V60" s="0">
        <v>2400</v>
      </c>
      <c r="W60" s="0">
        <v>0</v>
      </c>
      <c r="X60" s="0">
        <v>0</v>
      </c>
      <c r="Y60" s="0">
        <v>6100</v>
      </c>
      <c r="Z60" s="0">
        <v>39496</v>
      </c>
      <c r="AA60" s="0">
        <v>5450</v>
      </c>
      <c r="AB60" s="0">
        <v>2</v>
      </c>
      <c r="AC60" s="0">
        <v>2500</v>
      </c>
      <c r="AD60" s="0">
        <v>2</v>
      </c>
      <c r="AE60" s="0">
        <v>10</v>
      </c>
      <c r="AF60" s="0">
        <v>160</v>
      </c>
      <c r="AG60" s="0">
        <v>0</v>
      </c>
      <c r="AH60" s="0">
        <v>0</v>
      </c>
      <c r="AI60" s="0">
        <v>0</v>
      </c>
      <c r="AJ60" s="0">
        <v>5428.6721054031623</v>
      </c>
      <c r="AK60" s="0">
        <v>5428.6721054031623</v>
      </c>
      <c r="AL60" s="0">
        <v>0</v>
      </c>
      <c r="AM60" s="305">
        <v>5000</v>
      </c>
      <c r="AN60" s="305">
        <v>718.77777777777783</v>
      </c>
      <c r="AO60" s="305">
        <v>380</v>
      </c>
      <c r="AP60" s="305">
        <v>380</v>
      </c>
      <c r="AQ60" s="305">
        <v>355</v>
      </c>
      <c r="AR60" s="305">
        <v>135.82798813789904</v>
      </c>
      <c r="AS60" s="305">
        <v>-117.64695690939661</v>
      </c>
      <c r="AT60" s="305">
        <v>1578.1777445110158</v>
      </c>
      <c r="AU60" s="305">
        <v>1366.9333666000955</v>
      </c>
      <c r="AV60" s="305">
        <v>1347.3376742288108</v>
      </c>
      <c r="AW60" s="305">
        <v>-17.032818</v>
      </c>
      <c r="AX60" s="305">
        <v>-0.089094</v>
      </c>
      <c r="AY60" s="305">
        <v>-95.274453</v>
      </c>
      <c r="AZ60" s="305" t="s">
        <v>27</v>
      </c>
      <c r="BA60" s="305">
        <v>1336.9333666000955</v>
      </c>
      <c r="BB60" s="305">
        <v>-474.886231</v>
      </c>
      <c r="BC60" s="305">
        <v>1.240708</v>
      </c>
      <c r="BD60" s="305">
        <v>-1074.543</v>
      </c>
      <c r="BE60" s="305">
        <v>-6316.701</v>
      </c>
      <c r="BF60" s="305">
        <v>44.952704</v>
      </c>
      <c r="BG60" s="305">
        <v>-12688.26</v>
      </c>
      <c r="BH60" s="67">
        <v>380</v>
      </c>
      <c r="BI60" s="0">
        <v>380</v>
      </c>
      <c r="BJ60" s="0" t="s">
        <v>114</v>
      </c>
      <c r="BK60" s="0">
        <v>1466.2064153357815</v>
      </c>
      <c r="BL60" s="0">
        <v>84599.485093609837</v>
      </c>
      <c r="BM60" s="0">
        <v>-3151.036</v>
      </c>
      <c r="BN60" s="0">
        <v>-3225.826</v>
      </c>
      <c r="BO60" s="0">
        <v>4579.6869075</v>
      </c>
      <c r="BP60" s="0">
        <v>-11768.799</v>
      </c>
      <c r="BQ60" s="0">
        <v>174485470.15169376</v>
      </c>
      <c r="BR60" s="0">
        <v>174485470.15169376</v>
      </c>
      <c r="BS60" s="0">
        <v>184795436.20019749</v>
      </c>
      <c r="BT60" s="0">
        <v>205501798.23495039</v>
      </c>
      <c r="BU60" s="0">
        <v>201450262.655345</v>
      </c>
      <c r="BV60" s="0">
        <v>201450262.655345</v>
      </c>
      <c r="BW60" s="0">
        <v>203831828.3547883</v>
      </c>
      <c r="BX60" s="0">
        <v>208027665.44005728</v>
      </c>
      <c r="BY60" s="0">
        <v>205970688.30305648</v>
      </c>
      <c r="BZ60" s="0">
        <v>212381041.12885177</v>
      </c>
      <c r="CA60" s="0">
        <v>701672693.68041158</v>
      </c>
      <c r="CB60" s="0">
        <v>-413.161162</v>
      </c>
      <c r="CC60" s="0">
        <v>-37.19653</v>
      </c>
      <c r="CD60" s="0">
        <v>793.946437</v>
      </c>
      <c r="CE60" s="0">
        <v>-2576.3558245000004</v>
      </c>
      <c r="CF60" s="0">
        <v>1481.5500290144018</v>
      </c>
      <c r="CG60" s="0">
        <v>1463.5610820967095</v>
      </c>
      <c r="CH60" s="0">
        <v>286.41010828158926</v>
      </c>
      <c r="CI60" s="0">
        <v>-262.54141555600626</v>
      </c>
      <c r="CJ60" s="0">
        <v>-335.741835</v>
      </c>
      <c r="CK60" s="0">
        <v>-278.662125</v>
      </c>
      <c r="CL60" s="0">
        <v>144.748834875</v>
      </c>
      <c r="CM60" s="0">
        <v>-1111.093019875</v>
      </c>
      <c r="CN60" s="305">
        <v>217.61924359999941</v>
      </c>
      <c r="CO60" s="305">
        <v>-198.94769507920154</v>
      </c>
      <c r="CP60" s="305">
        <v>181059849.47468662</v>
      </c>
      <c r="CQ60" s="0">
        <v>125.71387221783466</v>
      </c>
      <c r="CR60" s="0">
        <v>-109.57656437687916</v>
      </c>
      <c r="CS60" s="0">
        <v>12.197707132149491</v>
      </c>
      <c r="CT60" s="0">
        <v>12.049602848243692</v>
      </c>
      <c r="CU60" s="0">
        <v>1324.277771689149</v>
      </c>
      <c r="CV60" s="0">
        <v>53.902683</v>
      </c>
      <c r="CW60" s="0">
        <v>-248.140412</v>
      </c>
    </row>
    <row r="61">
      <c r="D61" s="0">
        <v>130</v>
      </c>
      <c r="E61" s="0" t="s">
        <v>132</v>
      </c>
      <c r="F61" s="0">
        <v>93850</v>
      </c>
      <c r="G61" s="0">
        <v>0</v>
      </c>
      <c r="H61" s="0">
        <v>2</v>
      </c>
      <c r="I61" s="0">
        <v>600</v>
      </c>
      <c r="J61" s="0">
        <v>40</v>
      </c>
      <c r="K61" s="0">
        <v>1929.1828540763258</v>
      </c>
      <c r="L61" s="0">
        <v>30</v>
      </c>
      <c r="M61" s="0">
        <v>120</v>
      </c>
      <c r="N61" s="0">
        <v>2828.4444444444443</v>
      </c>
      <c r="O61" s="0">
        <v>12</v>
      </c>
      <c r="P61" s="0">
        <v>0.125</v>
      </c>
      <c r="Q61" s="0">
        <v>0</v>
      </c>
      <c r="R61" s="0">
        <v>290</v>
      </c>
      <c r="S61" s="0">
        <v>0</v>
      </c>
      <c r="T61" s="0">
        <v>0</v>
      </c>
      <c r="U61" s="0">
        <v>2400</v>
      </c>
      <c r="V61" s="0">
        <v>2400</v>
      </c>
      <c r="W61" s="0">
        <v>0</v>
      </c>
      <c r="X61" s="0">
        <v>0</v>
      </c>
      <c r="Y61" s="0">
        <v>6100</v>
      </c>
      <c r="Z61" s="0">
        <v>39496</v>
      </c>
      <c r="AA61" s="0">
        <v>5450</v>
      </c>
      <c r="AB61" s="0">
        <v>2</v>
      </c>
      <c r="AC61" s="0">
        <v>2500</v>
      </c>
      <c r="AD61" s="0">
        <v>2</v>
      </c>
      <c r="AE61" s="0">
        <v>10</v>
      </c>
      <c r="AF61" s="0">
        <v>160</v>
      </c>
      <c r="AG61" s="0">
        <v>0</v>
      </c>
      <c r="AH61" s="0">
        <v>0</v>
      </c>
      <c r="AI61" s="0">
        <v>0</v>
      </c>
      <c r="AJ61" s="0">
        <v>5428.6721054031623</v>
      </c>
      <c r="AK61" s="0">
        <v>5428.6721054031623</v>
      </c>
      <c r="AL61" s="0">
        <v>0</v>
      </c>
      <c r="AM61" s="305">
        <v>5000</v>
      </c>
      <c r="AN61" s="305">
        <v>707.11111111111109</v>
      </c>
      <c r="AO61" s="305">
        <v>380</v>
      </c>
      <c r="AP61" s="305">
        <v>380</v>
      </c>
      <c r="AQ61" s="305">
        <v>355</v>
      </c>
      <c r="AR61" s="305">
        <v>138.44951582922914</v>
      </c>
      <c r="AS61" s="305">
        <v>-119.37401949174209</v>
      </c>
      <c r="AT61" s="305">
        <v>1556.4453008204941</v>
      </c>
      <c r="AU61" s="305">
        <v>1341.9991436239502</v>
      </c>
      <c r="AV61" s="305">
        <v>1322.2094076804069</v>
      </c>
      <c r="AW61" s="305">
        <v>-17.032818</v>
      </c>
      <c r="AX61" s="305">
        <v>-0.089094</v>
      </c>
      <c r="AY61" s="305">
        <v>-95.274453</v>
      </c>
      <c r="AZ61" s="305" t="s">
        <v>27</v>
      </c>
      <c r="BA61" s="305">
        <v>1311.9991436239502</v>
      </c>
      <c r="BB61" s="305">
        <v>-474.886231</v>
      </c>
      <c r="BC61" s="305">
        <v>1.240708</v>
      </c>
      <c r="BD61" s="305">
        <v>-1074.543</v>
      </c>
      <c r="BE61" s="305">
        <v>-6316.701</v>
      </c>
      <c r="BF61" s="305">
        <v>44.952704</v>
      </c>
      <c r="BG61" s="305">
        <v>-12688.26</v>
      </c>
      <c r="BH61" s="67">
        <v>380</v>
      </c>
      <c r="BI61" s="0">
        <v>380</v>
      </c>
      <c r="BJ61" s="0" t="s">
        <v>114</v>
      </c>
      <c r="BK61" s="0">
        <v>1450.65793624669</v>
      </c>
      <c r="BL61" s="0">
        <v>83149.47377178607</v>
      </c>
      <c r="BM61" s="0">
        <v>-3151.036</v>
      </c>
      <c r="BN61" s="0">
        <v>-3225.826</v>
      </c>
      <c r="BO61" s="0">
        <v>4579.6869075</v>
      </c>
      <c r="BP61" s="0">
        <v>-11768.799</v>
      </c>
      <c r="BQ61" s="0">
        <v>171181605.28082189</v>
      </c>
      <c r="BR61" s="0">
        <v>171181605.28082189</v>
      </c>
      <c r="BS61" s="0">
        <v>181361578.66895321</v>
      </c>
      <c r="BT61" s="0">
        <v>201808475.09329024</v>
      </c>
      <c r="BU61" s="0">
        <v>198535748.9921791</v>
      </c>
      <c r="BV61" s="0">
        <v>198535748.9921791</v>
      </c>
      <c r="BW61" s="0">
        <v>200885827.08637604</v>
      </c>
      <c r="BX61" s="0">
        <v>205022626.79127398</v>
      </c>
      <c r="BY61" s="0">
        <v>203075441.33779585</v>
      </c>
      <c r="BZ61" s="0">
        <v>209391711.93246582</v>
      </c>
      <c r="CA61" s="0">
        <v>689328002.32431257</v>
      </c>
      <c r="CB61" s="0">
        <v>-413.161162</v>
      </c>
      <c r="CC61" s="0">
        <v>-37.19653</v>
      </c>
      <c r="CD61" s="0">
        <v>793.946437</v>
      </c>
      <c r="CE61" s="0">
        <v>-2576.3558245000004</v>
      </c>
      <c r="CF61" s="0">
        <v>1460.671740326256</v>
      </c>
      <c r="CG61" s="0">
        <v>1437.7727041181884</v>
      </c>
      <c r="CH61" s="0">
        <v>291.81750824605859</v>
      </c>
      <c r="CI61" s="0">
        <v>-266.39255392606196</v>
      </c>
      <c r="CJ61" s="0">
        <v>-335.741835</v>
      </c>
      <c r="CK61" s="0">
        <v>-278.662125</v>
      </c>
      <c r="CL61" s="0">
        <v>144.748834875</v>
      </c>
      <c r="CM61" s="0">
        <v>-1111.093019875</v>
      </c>
      <c r="CN61" s="305">
        <v>221.73233005811392</v>
      </c>
      <c r="CO61" s="305">
        <v>-201.86610018087959</v>
      </c>
      <c r="CP61" s="305">
        <v>177504036.08915052</v>
      </c>
      <c r="CQ61" s="0">
        <v>128.13394312039657</v>
      </c>
      <c r="CR61" s="0">
        <v>-111.1849214776875</v>
      </c>
      <c r="CS61" s="0">
        <v>12.420938956311165</v>
      </c>
      <c r="CT61" s="0">
        <v>12.226215170640309</v>
      </c>
      <c r="CU61" s="0">
        <v>1321.4449174918193</v>
      </c>
      <c r="CV61" s="0">
        <v>53.902683</v>
      </c>
      <c r="CW61" s="0">
        <v>-248.140412</v>
      </c>
    </row>
    <row r="62">
      <c r="D62" s="0">
        <v>130</v>
      </c>
      <c r="E62" s="0" t="s">
        <v>132</v>
      </c>
      <c r="F62" s="0">
        <v>93850</v>
      </c>
      <c r="G62" s="0">
        <v>0</v>
      </c>
      <c r="H62" s="0">
        <v>2</v>
      </c>
      <c r="I62" s="0">
        <v>600</v>
      </c>
      <c r="J62" s="0">
        <v>40</v>
      </c>
      <c r="K62" s="0">
        <v>1929.1828540763258</v>
      </c>
      <c r="L62" s="0">
        <v>30</v>
      </c>
      <c r="M62" s="0">
        <v>120</v>
      </c>
      <c r="N62" s="0">
        <v>2828.4444444444443</v>
      </c>
      <c r="O62" s="0">
        <v>12</v>
      </c>
      <c r="P62" s="0">
        <v>0.125</v>
      </c>
      <c r="Q62" s="0">
        <v>0</v>
      </c>
      <c r="R62" s="0">
        <v>290</v>
      </c>
      <c r="S62" s="0">
        <v>0</v>
      </c>
      <c r="T62" s="0">
        <v>0</v>
      </c>
      <c r="U62" s="0">
        <v>2400</v>
      </c>
      <c r="V62" s="0">
        <v>2400</v>
      </c>
      <c r="W62" s="0">
        <v>0</v>
      </c>
      <c r="X62" s="0">
        <v>0</v>
      </c>
      <c r="Y62" s="0">
        <v>6100</v>
      </c>
      <c r="Z62" s="0">
        <v>39496</v>
      </c>
      <c r="AA62" s="0">
        <v>5450</v>
      </c>
      <c r="AB62" s="0">
        <v>2</v>
      </c>
      <c r="AC62" s="0">
        <v>2500</v>
      </c>
      <c r="AD62" s="0">
        <v>2</v>
      </c>
      <c r="AE62" s="0">
        <v>10</v>
      </c>
      <c r="AF62" s="0">
        <v>160</v>
      </c>
      <c r="AG62" s="0">
        <v>0</v>
      </c>
      <c r="AH62" s="0">
        <v>0</v>
      </c>
      <c r="AI62" s="0">
        <v>0</v>
      </c>
      <c r="AJ62" s="0">
        <v>5428.6721054031623</v>
      </c>
      <c r="AK62" s="0">
        <v>5428.6721054031623</v>
      </c>
      <c r="AL62" s="0">
        <v>0</v>
      </c>
      <c r="AM62" s="305">
        <v>5000</v>
      </c>
      <c r="AN62" s="305">
        <v>707.11111111111109</v>
      </c>
      <c r="AO62" s="305">
        <v>380</v>
      </c>
      <c r="AP62" s="305">
        <v>380</v>
      </c>
      <c r="AQ62" s="305">
        <v>355</v>
      </c>
      <c r="AR62" s="305">
        <v>111.53338469065636</v>
      </c>
      <c r="AS62" s="305">
        <v>-96.166377746418419</v>
      </c>
      <c r="AT62" s="305">
        <v>1556.4453008204941</v>
      </c>
      <c r="AU62" s="305">
        <v>1341.9991436239502</v>
      </c>
      <c r="AV62" s="305">
        <v>1322.2094076804069</v>
      </c>
      <c r="AW62" s="305">
        <v>-17.032818</v>
      </c>
      <c r="AX62" s="305">
        <v>-0.089094</v>
      </c>
      <c r="AY62" s="305">
        <v>-63.170547</v>
      </c>
      <c r="AZ62" s="305" t="s">
        <v>27</v>
      </c>
      <c r="BA62" s="305">
        <v>1311.9991436239502</v>
      </c>
      <c r="BB62" s="305">
        <v>-426.120315</v>
      </c>
      <c r="BC62" s="305">
        <v>1.240708</v>
      </c>
      <c r="BD62" s="305">
        <v>-975.76188</v>
      </c>
      <c r="BE62" s="305">
        <v>-5190.443</v>
      </c>
      <c r="BF62" s="305">
        <v>41.850933</v>
      </c>
      <c r="BG62" s="305">
        <v>-10125.379</v>
      </c>
      <c r="BH62" s="67">
        <v>380</v>
      </c>
      <c r="BI62" s="0">
        <v>380</v>
      </c>
      <c r="BJ62" s="0" t="s">
        <v>114</v>
      </c>
      <c r="BK62" s="0">
        <v>1450.65793624669</v>
      </c>
      <c r="BL62" s="0">
        <v>83149.47377178607</v>
      </c>
      <c r="BM62" s="0">
        <v>-2369.869</v>
      </c>
      <c r="BN62" s="0">
        <v>-2561.189</v>
      </c>
      <c r="BO62" s="0">
        <v>5838.4239375</v>
      </c>
      <c r="BP62" s="0">
        <v>-10792.16325</v>
      </c>
      <c r="BQ62" s="0">
        <v>171181605.28082189</v>
      </c>
      <c r="BR62" s="0">
        <v>171181605.28082189</v>
      </c>
      <c r="BS62" s="0">
        <v>181361578.66895321</v>
      </c>
      <c r="BT62" s="0">
        <v>201808475.09329024</v>
      </c>
      <c r="BU62" s="0">
        <v>198535748.9921791</v>
      </c>
      <c r="BV62" s="0">
        <v>198535748.9921791</v>
      </c>
      <c r="BW62" s="0">
        <v>200885827.08637604</v>
      </c>
      <c r="BX62" s="0">
        <v>205022626.79127398</v>
      </c>
      <c r="BY62" s="0">
        <v>203075441.33779585</v>
      </c>
      <c r="BZ62" s="0">
        <v>209391711.93246582</v>
      </c>
      <c r="CA62" s="0">
        <v>689328002.32431257</v>
      </c>
      <c r="CB62" s="0">
        <v>-281.657412</v>
      </c>
      <c r="CC62" s="0">
        <v>-28.871655</v>
      </c>
      <c r="CD62" s="0">
        <v>1003.41182</v>
      </c>
      <c r="CE62" s="0">
        <v>-2212.8645810000003</v>
      </c>
      <c r="CF62" s="0">
        <v>1460.671740326256</v>
      </c>
      <c r="CG62" s="0">
        <v>1437.7727041181884</v>
      </c>
      <c r="CH62" s="0">
        <v>245.3093187938739</v>
      </c>
      <c r="CI62" s="0">
        <v>-224.78695891677378</v>
      </c>
      <c r="CJ62" s="0">
        <v>-289.191835</v>
      </c>
      <c r="CK62" s="0">
        <v>-253.047125</v>
      </c>
      <c r="CL62" s="0">
        <v>201.60855075000004</v>
      </c>
      <c r="CM62" s="0">
        <v>-998.50455962500007</v>
      </c>
      <c r="CN62" s="305">
        <v>185.93623849167747</v>
      </c>
      <c r="CO62" s="305">
        <v>-169.91022753461027</v>
      </c>
      <c r="CP62" s="305">
        <v>177504036.08915052</v>
      </c>
      <c r="CQ62" s="0">
        <v>102.29380287483774</v>
      </c>
      <c r="CR62" s="0">
        <v>-88.730196269784329</v>
      </c>
      <c r="CS62" s="0">
        <v>12.854151684169027</v>
      </c>
      <c r="CT62" s="0">
        <v>12.652636397254508</v>
      </c>
      <c r="CU62" s="0">
        <v>1321.4449174918193</v>
      </c>
      <c r="CV62" s="0">
        <v>72.418774</v>
      </c>
      <c r="CW62" s="0">
        <v>-221.634168</v>
      </c>
    </row>
    <row r="63">
      <c r="D63" s="0">
        <v>131</v>
      </c>
      <c r="E63" s="0" t="s">
        <v>126</v>
      </c>
      <c r="F63" s="0">
        <v>96350</v>
      </c>
      <c r="G63" s="0">
        <v>0</v>
      </c>
      <c r="H63" s="0">
        <v>2</v>
      </c>
      <c r="I63" s="0">
        <v>500</v>
      </c>
      <c r="J63" s="0">
        <v>26</v>
      </c>
      <c r="K63" s="0">
        <v>1935.3259940866656</v>
      </c>
      <c r="L63" s="0">
        <v>24</v>
      </c>
      <c r="M63" s="0">
        <v>120</v>
      </c>
      <c r="N63" s="0">
        <v>2804</v>
      </c>
      <c r="O63" s="0">
        <v>12</v>
      </c>
      <c r="P63" s="0">
        <v>0.125</v>
      </c>
      <c r="Q63" s="0">
        <v>0</v>
      </c>
      <c r="R63" s="0">
        <v>290</v>
      </c>
      <c r="S63" s="0">
        <v>0</v>
      </c>
      <c r="T63" s="0">
        <v>0</v>
      </c>
      <c r="U63" s="0">
        <v>2400</v>
      </c>
      <c r="V63" s="0">
        <v>2400</v>
      </c>
      <c r="W63" s="0">
        <v>0</v>
      </c>
      <c r="X63" s="0">
        <v>0</v>
      </c>
      <c r="Y63" s="0">
        <v>6100</v>
      </c>
      <c r="Z63" s="0">
        <v>39496</v>
      </c>
      <c r="AA63" s="0">
        <v>5450</v>
      </c>
      <c r="AB63" s="0">
        <v>2</v>
      </c>
      <c r="AC63" s="0">
        <v>2500</v>
      </c>
      <c r="AD63" s="0">
        <v>2</v>
      </c>
      <c r="AE63" s="0">
        <v>10</v>
      </c>
      <c r="AF63" s="0">
        <v>160</v>
      </c>
      <c r="AG63" s="0">
        <v>0</v>
      </c>
      <c r="AH63" s="0">
        <v>0</v>
      </c>
      <c r="AI63" s="0">
        <v>0</v>
      </c>
      <c r="AJ63" s="0">
        <v>5428.6721054031623</v>
      </c>
      <c r="AK63" s="0">
        <v>5428.6721054031623</v>
      </c>
      <c r="AL63" s="0">
        <v>0</v>
      </c>
      <c r="AM63" s="305">
        <v>5000</v>
      </c>
      <c r="AN63" s="305">
        <v>701</v>
      </c>
      <c r="AO63" s="305">
        <v>380</v>
      </c>
      <c r="AP63" s="305">
        <v>380</v>
      </c>
      <c r="AQ63" s="305">
        <v>355</v>
      </c>
      <c r="AR63" s="305">
        <v>169.06554221001414</v>
      </c>
      <c r="AS63" s="305">
        <v>-121.81029938815755</v>
      </c>
      <c r="AT63" s="305">
        <v>1658.8282299976788</v>
      </c>
      <c r="AU63" s="305">
        <v>1195.1717700023212</v>
      </c>
      <c r="AV63" s="305">
        <v>1180.2860846612177</v>
      </c>
      <c r="AW63" s="305">
        <v>-17.032818</v>
      </c>
      <c r="AX63" s="305">
        <v>-0.089094</v>
      </c>
      <c r="AY63" s="305">
        <v>-63.170547</v>
      </c>
      <c r="AZ63" s="305" t="s">
        <v>27</v>
      </c>
      <c r="BA63" s="305">
        <v>1171.1717700023212</v>
      </c>
      <c r="BB63" s="305">
        <v>-426.120315</v>
      </c>
      <c r="BC63" s="305">
        <v>1.240708</v>
      </c>
      <c r="BD63" s="305">
        <v>-975.76188</v>
      </c>
      <c r="BE63" s="305">
        <v>-5190.443</v>
      </c>
      <c r="BF63" s="305">
        <v>41.850933</v>
      </c>
      <c r="BG63" s="305">
        <v>-10125.379</v>
      </c>
      <c r="BH63" s="67">
        <v>380</v>
      </c>
      <c r="BI63" s="0">
        <v>380</v>
      </c>
      <c r="BJ63" s="0" t="s">
        <v>114</v>
      </c>
      <c r="BK63" s="0">
        <v>1672.3642790004055</v>
      </c>
      <c r="BL63" s="0">
        <v>63514.5776568844</v>
      </c>
      <c r="BM63" s="0">
        <v>-2369.869</v>
      </c>
      <c r="BN63" s="0">
        <v>-2561.189</v>
      </c>
      <c r="BO63" s="0">
        <v>5838.4239375</v>
      </c>
      <c r="BP63" s="0">
        <v>-10792.16325</v>
      </c>
      <c r="BQ63" s="0">
        <v>112929362.09339003</v>
      </c>
      <c r="BR63" s="0">
        <v>112929362.09339003</v>
      </c>
      <c r="BS63" s="0">
        <v>122916395.46747333</v>
      </c>
      <c r="BT63" s="0">
        <v>143002489.75496203</v>
      </c>
      <c r="BU63" s="0">
        <v>156739322.78017354</v>
      </c>
      <c r="BV63" s="0">
        <v>156739322.78017354</v>
      </c>
      <c r="BW63" s="0">
        <v>160237513.36386281</v>
      </c>
      <c r="BX63" s="0">
        <v>166129007.74926028</v>
      </c>
      <c r="BY63" s="0">
        <v>159951271.56776831</v>
      </c>
      <c r="BZ63" s="0">
        <v>169204890.97905782</v>
      </c>
      <c r="CA63" s="0">
        <v>625421930.48748875</v>
      </c>
      <c r="CB63" s="0">
        <v>-281.657412</v>
      </c>
      <c r="CC63" s="0">
        <v>-28.871655</v>
      </c>
      <c r="CD63" s="0">
        <v>1003.41182</v>
      </c>
      <c r="CE63" s="0">
        <v>-2212.8645810000003</v>
      </c>
      <c r="CF63" s="0">
        <v>1533.7556733762235</v>
      </c>
      <c r="CG63" s="0">
        <v>1320.2443266237765</v>
      </c>
      <c r="CH63" s="0">
        <v>360.26426124569639</v>
      </c>
      <c r="CI63" s="0">
        <v>-281.20559586070249</v>
      </c>
      <c r="CJ63" s="0">
        <v>-289.191835</v>
      </c>
      <c r="CK63" s="0">
        <v>-253.047125</v>
      </c>
      <c r="CL63" s="0">
        <v>201.60855075000004</v>
      </c>
      <c r="CM63" s="0">
        <v>-998.50455962500007</v>
      </c>
      <c r="CN63" s="305">
        <v>273.47847115397838</v>
      </c>
      <c r="CO63" s="305">
        <v>-212.67297947647063</v>
      </c>
      <c r="CP63" s="305">
        <v>125492872.55060446</v>
      </c>
      <c r="CQ63" s="0">
        <v>154.53276647697953</v>
      </c>
      <c r="CR63" s="0">
        <v>-112.23796602493199</v>
      </c>
      <c r="CS63" s="0">
        <v>18.140081018484423</v>
      </c>
      <c r="CT63" s="0">
        <v>15.614833225966526</v>
      </c>
      <c r="CU63" s="0">
        <v>1320.0860087373214</v>
      </c>
      <c r="CV63" s="0">
        <v>72.418774</v>
      </c>
      <c r="CW63" s="0">
        <v>-221.634168</v>
      </c>
    </row>
    <row r="64">
      <c r="D64" s="0">
        <v>131</v>
      </c>
      <c r="E64" s="0" t="s">
        <v>126</v>
      </c>
      <c r="F64" s="0">
        <v>96350</v>
      </c>
      <c r="G64" s="0">
        <v>0</v>
      </c>
      <c r="H64" s="0">
        <v>2</v>
      </c>
      <c r="I64" s="0">
        <v>500</v>
      </c>
      <c r="J64" s="0">
        <v>26</v>
      </c>
      <c r="K64" s="0">
        <v>1935.3259940866656</v>
      </c>
      <c r="L64" s="0">
        <v>24</v>
      </c>
      <c r="M64" s="0">
        <v>120</v>
      </c>
      <c r="N64" s="0">
        <v>2804</v>
      </c>
      <c r="O64" s="0">
        <v>12</v>
      </c>
      <c r="P64" s="0">
        <v>0.125</v>
      </c>
      <c r="Q64" s="0">
        <v>0</v>
      </c>
      <c r="R64" s="0">
        <v>290</v>
      </c>
      <c r="S64" s="0">
        <v>0</v>
      </c>
      <c r="T64" s="0">
        <v>0</v>
      </c>
      <c r="U64" s="0">
        <v>2400</v>
      </c>
      <c r="V64" s="0">
        <v>2400</v>
      </c>
      <c r="W64" s="0">
        <v>0</v>
      </c>
      <c r="X64" s="0">
        <v>0</v>
      </c>
      <c r="Y64" s="0">
        <v>6100</v>
      </c>
      <c r="Z64" s="0">
        <v>39496</v>
      </c>
      <c r="AA64" s="0">
        <v>5450</v>
      </c>
      <c r="AB64" s="0">
        <v>2</v>
      </c>
      <c r="AC64" s="0">
        <v>2500</v>
      </c>
      <c r="AD64" s="0">
        <v>2</v>
      </c>
      <c r="AE64" s="0">
        <v>10</v>
      </c>
      <c r="AF64" s="0">
        <v>160</v>
      </c>
      <c r="AG64" s="0">
        <v>0</v>
      </c>
      <c r="AH64" s="0">
        <v>0</v>
      </c>
      <c r="AI64" s="0">
        <v>0</v>
      </c>
      <c r="AJ64" s="0">
        <v>5428.6721054031623</v>
      </c>
      <c r="AK64" s="0">
        <v>5428.6721054031623</v>
      </c>
      <c r="AL64" s="0">
        <v>0</v>
      </c>
      <c r="AM64" s="305">
        <v>5000</v>
      </c>
      <c r="AN64" s="305">
        <v>701</v>
      </c>
      <c r="AO64" s="305">
        <v>380</v>
      </c>
      <c r="AP64" s="305">
        <v>380</v>
      </c>
      <c r="AQ64" s="305">
        <v>355</v>
      </c>
      <c r="AR64" s="305">
        <v>146.49864841013169</v>
      </c>
      <c r="AS64" s="305">
        <v>-105.55104245092926</v>
      </c>
      <c r="AT64" s="305">
        <v>1658.8282299976788</v>
      </c>
      <c r="AU64" s="305">
        <v>1195.1717700023212</v>
      </c>
      <c r="AV64" s="305">
        <v>1180.2860846612177</v>
      </c>
      <c r="AW64" s="305">
        <v>-17.032818</v>
      </c>
      <c r="AX64" s="305">
        <v>-0.089094</v>
      </c>
      <c r="AY64" s="305">
        <v>-43.908203</v>
      </c>
      <c r="AZ64" s="305" t="s">
        <v>27</v>
      </c>
      <c r="BA64" s="305">
        <v>1171.1717700023212</v>
      </c>
      <c r="BB64" s="305">
        <v>-402.468788</v>
      </c>
      <c r="BC64" s="305">
        <v>1.240708</v>
      </c>
      <c r="BD64" s="305">
        <v>-916.49313</v>
      </c>
      <c r="BE64" s="305">
        <v>-4569.001</v>
      </c>
      <c r="BF64" s="305">
        <v>39.98987</v>
      </c>
      <c r="BG64" s="305">
        <v>-8706.188</v>
      </c>
      <c r="BH64" s="67">
        <v>380</v>
      </c>
      <c r="BI64" s="0">
        <v>380</v>
      </c>
      <c r="BJ64" s="0" t="s">
        <v>114</v>
      </c>
      <c r="BK64" s="0">
        <v>1672.3642790004055</v>
      </c>
      <c r="BL64" s="0">
        <v>63514.5776568844</v>
      </c>
      <c r="BM64" s="0">
        <v>-1957.029</v>
      </c>
      <c r="BN64" s="0">
        <v>-2193.145</v>
      </c>
      <c r="BO64" s="0">
        <v>6446.901125</v>
      </c>
      <c r="BP64" s="0">
        <v>-10238.3968125</v>
      </c>
      <c r="BQ64" s="0">
        <v>112929362.09339003</v>
      </c>
      <c r="BR64" s="0">
        <v>112929362.09339003</v>
      </c>
      <c r="BS64" s="0">
        <v>122916395.46747333</v>
      </c>
      <c r="BT64" s="0">
        <v>143002489.75496203</v>
      </c>
      <c r="BU64" s="0">
        <v>156739322.78017354</v>
      </c>
      <c r="BV64" s="0">
        <v>156739322.78017354</v>
      </c>
      <c r="BW64" s="0">
        <v>160237513.36386281</v>
      </c>
      <c r="BX64" s="0">
        <v>166129007.74926028</v>
      </c>
      <c r="BY64" s="0">
        <v>159951271.56776831</v>
      </c>
      <c r="BZ64" s="0">
        <v>169204890.97905782</v>
      </c>
      <c r="CA64" s="0">
        <v>625421930.48748875</v>
      </c>
      <c r="CB64" s="0">
        <v>-202.755162</v>
      </c>
      <c r="CC64" s="0">
        <v>-23.87673</v>
      </c>
      <c r="CD64" s="0">
        <v>1147.9423895625</v>
      </c>
      <c r="CE64" s="0">
        <v>-2007.2151049999998</v>
      </c>
      <c r="CF64" s="0">
        <v>1533.7556733762235</v>
      </c>
      <c r="CG64" s="0">
        <v>1320.2443266237765</v>
      </c>
      <c r="CH64" s="0">
        <v>322.03722571912454</v>
      </c>
      <c r="CI64" s="0">
        <v>-252.28047571779473</v>
      </c>
      <c r="CJ64" s="0">
        <v>-261.261835</v>
      </c>
      <c r="CK64" s="0">
        <v>-237.678125</v>
      </c>
      <c r="CL64" s="0">
        <v>241.0256135625</v>
      </c>
      <c r="CM64" s="0">
        <v>-933.979120875</v>
      </c>
      <c r="CN64" s="305">
        <v>244.03783482891379</v>
      </c>
      <c r="CO64" s="305">
        <v>-190.45892570269785</v>
      </c>
      <c r="CP64" s="305">
        <v>125492872.55060446</v>
      </c>
      <c r="CQ64" s="0">
        <v>133.12054572145368</v>
      </c>
      <c r="CR64" s="0">
        <v>-96.654135071801178</v>
      </c>
      <c r="CS64" s="0">
        <v>18.29957649327708</v>
      </c>
      <c r="CT64" s="0">
        <v>15.752125624861876</v>
      </c>
      <c r="CU64" s="0">
        <v>1320.0860087373214</v>
      </c>
      <c r="CV64" s="0">
        <v>85.151787</v>
      </c>
      <c r="CW64" s="0">
        <v>-205.743003</v>
      </c>
    </row>
    <row r="65">
      <c r="D65" s="0">
        <v>132</v>
      </c>
      <c r="E65" s="0" t="s">
        <v>120</v>
      </c>
      <c r="F65" s="0">
        <v>97850</v>
      </c>
      <c r="G65" s="0">
        <v>0</v>
      </c>
      <c r="H65" s="0">
        <v>2</v>
      </c>
      <c r="I65" s="0">
        <v>500</v>
      </c>
      <c r="J65" s="0">
        <v>26</v>
      </c>
      <c r="K65" s="0">
        <v>1936.3312351792665</v>
      </c>
      <c r="L65" s="0">
        <v>24</v>
      </c>
      <c r="M65" s="0">
        <v>120</v>
      </c>
      <c r="N65" s="0">
        <v>2800</v>
      </c>
      <c r="O65" s="0">
        <v>12</v>
      </c>
      <c r="P65" s="0">
        <v>0.125</v>
      </c>
      <c r="Q65" s="0">
        <v>0</v>
      </c>
      <c r="R65" s="0">
        <v>290</v>
      </c>
      <c r="S65" s="0">
        <v>0</v>
      </c>
      <c r="T65" s="0">
        <v>0</v>
      </c>
      <c r="U65" s="0">
        <v>2400</v>
      </c>
      <c r="V65" s="0">
        <v>2400</v>
      </c>
      <c r="W65" s="0">
        <v>0</v>
      </c>
      <c r="X65" s="0">
        <v>0</v>
      </c>
      <c r="Y65" s="0">
        <v>6100</v>
      </c>
      <c r="Z65" s="0">
        <v>39496</v>
      </c>
      <c r="AA65" s="0">
        <v>5450</v>
      </c>
      <c r="AB65" s="0">
        <v>2</v>
      </c>
      <c r="AC65" s="0">
        <v>2500</v>
      </c>
      <c r="AD65" s="0">
        <v>2</v>
      </c>
      <c r="AE65" s="0">
        <v>10</v>
      </c>
      <c r="AF65" s="0">
        <v>160</v>
      </c>
      <c r="AG65" s="0">
        <v>0</v>
      </c>
      <c r="AH65" s="0">
        <v>0</v>
      </c>
      <c r="AI65" s="0">
        <v>0</v>
      </c>
      <c r="AJ65" s="0">
        <v>5428.6721054031623</v>
      </c>
      <c r="AK65" s="0">
        <v>5428.6721054031623</v>
      </c>
      <c r="AL65" s="0">
        <v>0</v>
      </c>
      <c r="AM65" s="305">
        <v>5000</v>
      </c>
      <c r="AN65" s="305">
        <v>700</v>
      </c>
      <c r="AO65" s="305">
        <v>380</v>
      </c>
      <c r="AP65" s="305">
        <v>380</v>
      </c>
      <c r="AQ65" s="305">
        <v>355</v>
      </c>
      <c r="AR65" s="305">
        <v>146.76771038567387</v>
      </c>
      <c r="AS65" s="305">
        <v>-105.6916236060468</v>
      </c>
      <c r="AT65" s="305">
        <v>1656.8528799687324</v>
      </c>
      <c r="AU65" s="305">
        <v>1193.1471200312676</v>
      </c>
      <c r="AV65" s="305">
        <v>1178.2456784216276</v>
      </c>
      <c r="AW65" s="305">
        <v>-17.032818</v>
      </c>
      <c r="AX65" s="305">
        <v>-0.089094</v>
      </c>
      <c r="AY65" s="305">
        <v>-43.908203</v>
      </c>
      <c r="AZ65" s="305" t="s">
        <v>27</v>
      </c>
      <c r="BA65" s="305">
        <v>1169.1471200312676</v>
      </c>
      <c r="BB65" s="305">
        <v>-402.468788</v>
      </c>
      <c r="BC65" s="305">
        <v>1.240708</v>
      </c>
      <c r="BD65" s="305">
        <v>-916.49313</v>
      </c>
      <c r="BE65" s="305">
        <v>-4569.001</v>
      </c>
      <c r="BF65" s="305">
        <v>39.98987</v>
      </c>
      <c r="BG65" s="305">
        <v>-8706.188</v>
      </c>
      <c r="BH65" s="67">
        <v>380</v>
      </c>
      <c r="BI65" s="0">
        <v>380</v>
      </c>
      <c r="BJ65" s="0" t="s">
        <v>114</v>
      </c>
      <c r="BK65" s="0">
        <v>1670.8980975771535</v>
      </c>
      <c r="BL65" s="0">
        <v>63410.741734694857</v>
      </c>
      <c r="BM65" s="0">
        <v>-1957.029</v>
      </c>
      <c r="BN65" s="0">
        <v>-2193.145</v>
      </c>
      <c r="BO65" s="0">
        <v>6446.901125</v>
      </c>
      <c r="BP65" s="0">
        <v>-10238.3968125</v>
      </c>
      <c r="BQ65" s="0">
        <v>112722334.28610383</v>
      </c>
      <c r="BR65" s="0">
        <v>112722334.28610383</v>
      </c>
      <c r="BS65" s="0">
        <v>122698480.65233673</v>
      </c>
      <c r="BT65" s="0">
        <v>142762873.28102979</v>
      </c>
      <c r="BU65" s="0">
        <v>156530842.72946572</v>
      </c>
      <c r="BV65" s="0">
        <v>156530842.72946572</v>
      </c>
      <c r="BW65" s="0">
        <v>160025481.24488255</v>
      </c>
      <c r="BX65" s="0">
        <v>165910206.766736</v>
      </c>
      <c r="BY65" s="0">
        <v>159744074.11937559</v>
      </c>
      <c r="BZ65" s="0">
        <v>168987034.93570218</v>
      </c>
      <c r="CA65" s="0">
        <v>624448969.74016058</v>
      </c>
      <c r="CB65" s="0">
        <v>-202.755162</v>
      </c>
      <c r="CC65" s="0">
        <v>-23.87673</v>
      </c>
      <c r="CD65" s="0">
        <v>1147.9423895625</v>
      </c>
      <c r="CE65" s="0">
        <v>-2007.2151049999998</v>
      </c>
      <c r="CF65" s="0">
        <v>1531.8604693743525</v>
      </c>
      <c r="CG65" s="0">
        <v>1318.1395306256475</v>
      </c>
      <c r="CH65" s="0">
        <v>322.6054700636941</v>
      </c>
      <c r="CI65" s="0">
        <v>-252.61478428765619</v>
      </c>
      <c r="CJ65" s="0">
        <v>-261.261835</v>
      </c>
      <c r="CK65" s="0">
        <v>-237.678125</v>
      </c>
      <c r="CL65" s="0">
        <v>241.0256135625</v>
      </c>
      <c r="CM65" s="0">
        <v>-933.979120875</v>
      </c>
      <c r="CN65" s="305">
        <v>244.46926899907408</v>
      </c>
      <c r="CO65" s="305">
        <v>-190.7113669258494</v>
      </c>
      <c r="CP65" s="305">
        <v>125263619.80799095</v>
      </c>
      <c r="CQ65" s="0">
        <v>133.36407241163224</v>
      </c>
      <c r="CR65" s="0">
        <v>-96.782782494420928</v>
      </c>
      <c r="CS65" s="0">
        <v>18.330290921286252</v>
      </c>
      <c r="CT65" s="0">
        <v>15.772899395389516</v>
      </c>
      <c r="CU65" s="0">
        <v>1319.8720409480259</v>
      </c>
      <c r="CV65" s="0">
        <v>85.151787</v>
      </c>
      <c r="CW65" s="0">
        <v>-205.743003</v>
      </c>
    </row>
    <row r="66">
      <c r="D66" s="0">
        <v>132</v>
      </c>
      <c r="E66" s="0" t="s">
        <v>120</v>
      </c>
      <c r="F66" s="0">
        <v>97850</v>
      </c>
      <c r="G66" s="0">
        <v>0</v>
      </c>
      <c r="H66" s="0">
        <v>2</v>
      </c>
      <c r="I66" s="0">
        <v>500</v>
      </c>
      <c r="J66" s="0">
        <v>26</v>
      </c>
      <c r="K66" s="0">
        <v>1936.3312351792665</v>
      </c>
      <c r="L66" s="0">
        <v>24</v>
      </c>
      <c r="M66" s="0">
        <v>120</v>
      </c>
      <c r="N66" s="0">
        <v>2800</v>
      </c>
      <c r="O66" s="0">
        <v>12</v>
      </c>
      <c r="P66" s="0">
        <v>0.125</v>
      </c>
      <c r="Q66" s="0">
        <v>0</v>
      </c>
      <c r="R66" s="0">
        <v>290</v>
      </c>
      <c r="S66" s="0">
        <v>0</v>
      </c>
      <c r="T66" s="0">
        <v>0</v>
      </c>
      <c r="U66" s="0">
        <v>2400</v>
      </c>
      <c r="V66" s="0">
        <v>2400</v>
      </c>
      <c r="W66" s="0">
        <v>0</v>
      </c>
      <c r="X66" s="0">
        <v>0</v>
      </c>
      <c r="Y66" s="0">
        <v>6100</v>
      </c>
      <c r="Z66" s="0">
        <v>39496</v>
      </c>
      <c r="AA66" s="0">
        <v>5450</v>
      </c>
      <c r="AB66" s="0">
        <v>2</v>
      </c>
      <c r="AC66" s="0">
        <v>2500</v>
      </c>
      <c r="AD66" s="0">
        <v>2</v>
      </c>
      <c r="AE66" s="0">
        <v>10</v>
      </c>
      <c r="AF66" s="0">
        <v>160</v>
      </c>
      <c r="AG66" s="0">
        <v>0</v>
      </c>
      <c r="AH66" s="0">
        <v>0</v>
      </c>
      <c r="AI66" s="0">
        <v>0</v>
      </c>
      <c r="AJ66" s="0">
        <v>5428.6721054031623</v>
      </c>
      <c r="AK66" s="0">
        <v>5428.6721054031623</v>
      </c>
      <c r="AL66" s="0">
        <v>0</v>
      </c>
      <c r="AM66" s="305">
        <v>5000</v>
      </c>
      <c r="AN66" s="305">
        <v>700</v>
      </c>
      <c r="AO66" s="305">
        <v>380</v>
      </c>
      <c r="AP66" s="305">
        <v>380</v>
      </c>
      <c r="AQ66" s="305">
        <v>355</v>
      </c>
      <c r="AR66" s="305">
        <v>99.378238413848891</v>
      </c>
      <c r="AS66" s="305">
        <v>-71.5651102103297</v>
      </c>
      <c r="AT66" s="305">
        <v>1656.8528799687324</v>
      </c>
      <c r="AU66" s="305">
        <v>1193.1471200312676</v>
      </c>
      <c r="AV66" s="305">
        <v>1178.2456784216276</v>
      </c>
      <c r="AW66" s="305">
        <v>-17.032818</v>
      </c>
      <c r="AX66" s="305">
        <v>-0.089094</v>
      </c>
      <c r="AY66" s="305">
        <v>1.037266</v>
      </c>
      <c r="AZ66" s="305" t="s">
        <v>27</v>
      </c>
      <c r="BA66" s="305">
        <v>1169.1471200312676</v>
      </c>
      <c r="BB66" s="305">
        <v>-347.309828</v>
      </c>
      <c r="BC66" s="305">
        <v>1.240708</v>
      </c>
      <c r="BD66" s="305">
        <v>-778.19938</v>
      </c>
      <c r="BE66" s="305">
        <v>-3256.889</v>
      </c>
      <c r="BF66" s="305">
        <v>35.647391</v>
      </c>
      <c r="BG66" s="305">
        <v>-5740.476</v>
      </c>
      <c r="BH66" s="67">
        <v>380</v>
      </c>
      <c r="BI66" s="0">
        <v>380</v>
      </c>
      <c r="BJ66" s="0" t="s">
        <v>114</v>
      </c>
      <c r="BK66" s="0">
        <v>1670.8980975771535</v>
      </c>
      <c r="BL66" s="0">
        <v>63410.741734694857</v>
      </c>
      <c r="BM66" s="0">
        <v>-1156.66</v>
      </c>
      <c r="BN66" s="0">
        <v>-1424.028</v>
      </c>
      <c r="BO66" s="0">
        <v>7329.5131875</v>
      </c>
      <c r="BP66" s="0">
        <v>-8946.3655625</v>
      </c>
      <c r="BQ66" s="0">
        <v>112722334.28610383</v>
      </c>
      <c r="BR66" s="0">
        <v>112722334.28610383</v>
      </c>
      <c r="BS66" s="0">
        <v>122698480.65233673</v>
      </c>
      <c r="BT66" s="0">
        <v>142762873.28102979</v>
      </c>
      <c r="BU66" s="0">
        <v>156530842.72946572</v>
      </c>
      <c r="BV66" s="0">
        <v>156530842.72946572</v>
      </c>
      <c r="BW66" s="0">
        <v>160025481.24488255</v>
      </c>
      <c r="BX66" s="0">
        <v>165910206.766736</v>
      </c>
      <c r="BY66" s="0">
        <v>159744074.11937559</v>
      </c>
      <c r="BZ66" s="0">
        <v>168987034.93570218</v>
      </c>
      <c r="CA66" s="0">
        <v>624448969.74016058</v>
      </c>
      <c r="CB66" s="0">
        <v>-18.649912</v>
      </c>
      <c r="CC66" s="0">
        <v>-12.221905</v>
      </c>
      <c r="CD66" s="0">
        <v>1521.604121125</v>
      </c>
      <c r="CE66" s="0">
        <v>-1572.7261468749998</v>
      </c>
      <c r="CF66" s="0">
        <v>1531.8604693743525</v>
      </c>
      <c r="CG66" s="0">
        <v>1318.1395306256475</v>
      </c>
      <c r="CH66" s="0">
        <v>241.36931042997836</v>
      </c>
      <c r="CI66" s="0">
        <v>-191.00950017556346</v>
      </c>
      <c r="CJ66" s="0">
        <v>-196.091835</v>
      </c>
      <c r="CK66" s="0">
        <v>-201.817125</v>
      </c>
      <c r="CL66" s="0">
        <v>344.569790875</v>
      </c>
      <c r="CM66" s="0">
        <v>-794.293023</v>
      </c>
      <c r="CN66" s="305">
        <v>182.00103797705242</v>
      </c>
      <c r="CO66" s="305">
        <v>-143.47863745427912</v>
      </c>
      <c r="CP66" s="305">
        <v>125263619.80799095</v>
      </c>
      <c r="CQ66" s="0">
        <v>88.929439326518278</v>
      </c>
      <c r="CR66" s="0">
        <v>-64.480062057184583</v>
      </c>
      <c r="CS66" s="0">
        <v>18.098875713391372</v>
      </c>
      <c r="CT66" s="0">
        <v>15.573770597687215</v>
      </c>
      <c r="CU66" s="0">
        <v>1319.8720409480259</v>
      </c>
      <c r="CV66" s="0">
        <v>116.421822</v>
      </c>
      <c r="CW66" s="0">
        <v>-169.43678</v>
      </c>
    </row>
    <row r="67">
      <c r="D67" s="0">
        <v>133</v>
      </c>
      <c r="E67" s="0" t="s">
        <v>130</v>
      </c>
      <c r="F67" s="0">
        <v>101350</v>
      </c>
      <c r="G67" s="0">
        <v>0</v>
      </c>
      <c r="H67" s="0">
        <v>2</v>
      </c>
      <c r="I67" s="0">
        <v>600</v>
      </c>
      <c r="J67" s="0">
        <v>22</v>
      </c>
      <c r="K67" s="0">
        <v>1936.3312351792665</v>
      </c>
      <c r="L67" s="0">
        <v>18</v>
      </c>
      <c r="M67" s="0">
        <v>120</v>
      </c>
      <c r="N67" s="0">
        <v>2800</v>
      </c>
      <c r="O67" s="0">
        <v>12</v>
      </c>
      <c r="P67" s="0">
        <v>0.125</v>
      </c>
      <c r="Q67" s="0">
        <v>0</v>
      </c>
      <c r="R67" s="0">
        <v>290</v>
      </c>
      <c r="S67" s="0">
        <v>0</v>
      </c>
      <c r="T67" s="0">
        <v>0</v>
      </c>
      <c r="U67" s="0">
        <v>2400</v>
      </c>
      <c r="V67" s="0">
        <v>2400</v>
      </c>
      <c r="W67" s="0">
        <v>0</v>
      </c>
      <c r="X67" s="0">
        <v>0</v>
      </c>
      <c r="Y67" s="0">
        <v>6100</v>
      </c>
      <c r="Z67" s="0">
        <v>39496</v>
      </c>
      <c r="AA67" s="0">
        <v>5450</v>
      </c>
      <c r="AB67" s="0">
        <v>2</v>
      </c>
      <c r="AC67" s="0">
        <v>2500</v>
      </c>
      <c r="AD67" s="0">
        <v>2</v>
      </c>
      <c r="AE67" s="0">
        <v>10</v>
      </c>
      <c r="AF67" s="0">
        <v>160</v>
      </c>
      <c r="AG67" s="0">
        <v>0</v>
      </c>
      <c r="AH67" s="0">
        <v>0</v>
      </c>
      <c r="AI67" s="0">
        <v>0</v>
      </c>
      <c r="AJ67" s="0">
        <v>5428.6721054031623</v>
      </c>
      <c r="AK67" s="0">
        <v>5428.6721054031623</v>
      </c>
      <c r="AL67" s="0">
        <v>0</v>
      </c>
      <c r="AM67" s="305">
        <v>5000</v>
      </c>
      <c r="AN67" s="305">
        <v>700</v>
      </c>
      <c r="AO67" s="305">
        <v>380</v>
      </c>
      <c r="AP67" s="305">
        <v>380</v>
      </c>
      <c r="AQ67" s="305">
        <v>355</v>
      </c>
      <c r="AR67" s="305">
        <v>101.93648329064953</v>
      </c>
      <c r="AS67" s="305">
        <v>-85.60316500759221</v>
      </c>
      <c r="AT67" s="305">
        <v>1543.6715125169553</v>
      </c>
      <c r="AU67" s="305">
        <v>1296.3284874830447</v>
      </c>
      <c r="AV67" s="305">
        <v>1288.2767191351179</v>
      </c>
      <c r="AW67" s="305">
        <v>-2.837448</v>
      </c>
      <c r="AX67" s="305">
        <v>-0.069805</v>
      </c>
      <c r="AY67" s="305">
        <v>-69.002271</v>
      </c>
      <c r="AZ67" s="305" t="s">
        <v>27</v>
      </c>
      <c r="BA67" s="305">
        <v>1278.3284874830447</v>
      </c>
      <c r="BB67" s="305">
        <v>-330.177164</v>
      </c>
      <c r="BC67" s="305">
        <v>1.219702</v>
      </c>
      <c r="BD67" s="305">
        <v>-774.862565</v>
      </c>
      <c r="BE67" s="305">
        <v>-3256.889</v>
      </c>
      <c r="BF67" s="305">
        <v>35.647391</v>
      </c>
      <c r="BG67" s="305">
        <v>-5740.476</v>
      </c>
      <c r="BH67" s="67">
        <v>380</v>
      </c>
      <c r="BI67" s="0">
        <v>380</v>
      </c>
      <c r="BJ67" s="0" t="s">
        <v>114</v>
      </c>
      <c r="BK67" s="0">
        <v>1404.9824140006833</v>
      </c>
      <c r="BL67" s="0">
        <v>57961.92331033192</v>
      </c>
      <c r="BM67" s="0">
        <v>-1156.661</v>
      </c>
      <c r="BN67" s="0">
        <v>-1424.028</v>
      </c>
      <c r="BO67" s="0">
        <v>7329.5112500000005</v>
      </c>
      <c r="BP67" s="0">
        <v>-8946.3655625</v>
      </c>
      <c r="BQ67" s="0">
        <v>109893402.73108633</v>
      </c>
      <c r="BR67" s="0">
        <v>109893402.73108633</v>
      </c>
      <c r="BS67" s="0">
        <v>119697659.12057354</v>
      </c>
      <c r="BT67" s="0">
        <v>139438857.3481561</v>
      </c>
      <c r="BU67" s="0">
        <v>130861364.88360535</v>
      </c>
      <c r="BV67" s="0">
        <v>130861364.88360535</v>
      </c>
      <c r="BW67" s="0">
        <v>133848888.99241643</v>
      </c>
      <c r="BX67" s="0">
        <v>138882965.08790413</v>
      </c>
      <c r="BY67" s="0">
        <v>132704009.07949802</v>
      </c>
      <c r="BZ67" s="0">
        <v>140662456.12843937</v>
      </c>
      <c r="CA67" s="0">
        <v>592652010.31573856</v>
      </c>
      <c r="CB67" s="0">
        <v>-265.683348</v>
      </c>
      <c r="CC67" s="0">
        <v>-19.01318</v>
      </c>
      <c r="CD67" s="0">
        <v>947.41258825</v>
      </c>
      <c r="CE67" s="0">
        <v>-2237.7104</v>
      </c>
      <c r="CF67" s="0">
        <v>1417.1638335698985</v>
      </c>
      <c r="CG67" s="0">
        <v>1422.8361664301015</v>
      </c>
      <c r="CH67" s="0">
        <v>247.34837290647317</v>
      </c>
      <c r="CI67" s="0">
        <v>-228.31354589174032</v>
      </c>
      <c r="CJ67" s="0">
        <v>-250.920438</v>
      </c>
      <c r="CK67" s="0">
        <v>-200.068739</v>
      </c>
      <c r="CL67" s="0">
        <v>206.33371474999998</v>
      </c>
      <c r="CM67" s="0">
        <v>-939.56946706249994</v>
      </c>
      <c r="CN67" s="305">
        <v>186.51695512462391</v>
      </c>
      <c r="CO67" s="305">
        <v>-171.5047011335227</v>
      </c>
      <c r="CP67" s="305">
        <v>120848872.49291767</v>
      </c>
      <c r="CQ67" s="0">
        <v>91.212374772522224</v>
      </c>
      <c r="CR67" s="0">
        <v>-77.124075531067348</v>
      </c>
      <c r="CS67" s="0">
        <v>18.530320737988809</v>
      </c>
      <c r="CT67" s="0">
        <v>18.604490106937078</v>
      </c>
      <c r="CU67" s="0">
        <v>1319.8720409480259</v>
      </c>
      <c r="CV67" s="0">
        <v>67.164227</v>
      </c>
      <c r="CW67" s="0">
        <v>-213.138875</v>
      </c>
    </row>
    <row r="68">
      <c r="D68" s="0">
        <v>133</v>
      </c>
      <c r="E68" s="0" t="s">
        <v>130</v>
      </c>
      <c r="F68" s="0">
        <v>101350</v>
      </c>
      <c r="G68" s="0">
        <v>0</v>
      </c>
      <c r="H68" s="0">
        <v>2</v>
      </c>
      <c r="I68" s="0">
        <v>600</v>
      </c>
      <c r="J68" s="0">
        <v>22</v>
      </c>
      <c r="K68" s="0">
        <v>1936.3312351792665</v>
      </c>
      <c r="L68" s="0">
        <v>18</v>
      </c>
      <c r="M68" s="0">
        <v>120</v>
      </c>
      <c r="N68" s="0">
        <v>2800</v>
      </c>
      <c r="O68" s="0">
        <v>12</v>
      </c>
      <c r="P68" s="0">
        <v>0.125</v>
      </c>
      <c r="Q68" s="0">
        <v>0</v>
      </c>
      <c r="R68" s="0">
        <v>290</v>
      </c>
      <c r="S68" s="0">
        <v>0</v>
      </c>
      <c r="T68" s="0">
        <v>0</v>
      </c>
      <c r="U68" s="0">
        <v>2400</v>
      </c>
      <c r="V68" s="0">
        <v>2400</v>
      </c>
      <c r="W68" s="0">
        <v>0</v>
      </c>
      <c r="X68" s="0">
        <v>0</v>
      </c>
      <c r="Y68" s="0">
        <v>6100</v>
      </c>
      <c r="Z68" s="0">
        <v>39496</v>
      </c>
      <c r="AA68" s="0">
        <v>5450</v>
      </c>
      <c r="AB68" s="0">
        <v>2</v>
      </c>
      <c r="AC68" s="0">
        <v>2500</v>
      </c>
      <c r="AD68" s="0">
        <v>2</v>
      </c>
      <c r="AE68" s="0">
        <v>10</v>
      </c>
      <c r="AF68" s="0">
        <v>160</v>
      </c>
      <c r="AG68" s="0">
        <v>0</v>
      </c>
      <c r="AH68" s="0">
        <v>0</v>
      </c>
      <c r="AI68" s="0">
        <v>0</v>
      </c>
      <c r="AJ68" s="0">
        <v>5428.6721054031623</v>
      </c>
      <c r="AK68" s="0">
        <v>5428.6721054031623</v>
      </c>
      <c r="AL68" s="0">
        <v>0</v>
      </c>
      <c r="AM68" s="305">
        <v>5000</v>
      </c>
      <c r="AN68" s="305">
        <v>700</v>
      </c>
      <c r="AO68" s="305">
        <v>380</v>
      </c>
      <c r="AP68" s="305">
        <v>380</v>
      </c>
      <c r="AQ68" s="305">
        <v>355</v>
      </c>
      <c r="AR68" s="305">
        <v>46.842087589611523</v>
      </c>
      <c r="AS68" s="305">
        <v>-39.33656355203513</v>
      </c>
      <c r="AT68" s="305">
        <v>1543.6715125169553</v>
      </c>
      <c r="AU68" s="305">
        <v>1296.3284874830447</v>
      </c>
      <c r="AV68" s="305">
        <v>1288.2767191351179</v>
      </c>
      <c r="AW68" s="305">
        <v>-2.837448</v>
      </c>
      <c r="AX68" s="305">
        <v>-0.069805</v>
      </c>
      <c r="AY68" s="305">
        <v>-4.794459</v>
      </c>
      <c r="AZ68" s="305" t="s">
        <v>27</v>
      </c>
      <c r="BA68" s="305">
        <v>1278.3284874830447</v>
      </c>
      <c r="BB68" s="305">
        <v>-257.542934</v>
      </c>
      <c r="BC68" s="305">
        <v>1.219702</v>
      </c>
      <c r="BD68" s="305">
        <v>-577.300065</v>
      </c>
      <c r="BE68" s="305">
        <v>-1787.588</v>
      </c>
      <c r="BF68" s="305">
        <v>29.548883</v>
      </c>
      <c r="BG68" s="305">
        <v>-2360.07</v>
      </c>
      <c r="BH68" s="67">
        <v>380</v>
      </c>
      <c r="BI68" s="0">
        <v>380</v>
      </c>
      <c r="BJ68" s="0" t="s">
        <v>114</v>
      </c>
      <c r="BK68" s="0">
        <v>1404.9824140006833</v>
      </c>
      <c r="BL68" s="0">
        <v>57961.92331033192</v>
      </c>
      <c r="BM68" s="0">
        <v>-134.808621</v>
      </c>
      <c r="BN68" s="0">
        <v>-551.7598</v>
      </c>
      <c r="BO68" s="0">
        <v>8618.8274375</v>
      </c>
      <c r="BP68" s="0">
        <v>-7325.535</v>
      </c>
      <c r="BQ68" s="0">
        <v>109893402.73108633</v>
      </c>
      <c r="BR68" s="0">
        <v>109893402.73108633</v>
      </c>
      <c r="BS68" s="0">
        <v>119697659.12057354</v>
      </c>
      <c r="BT68" s="0">
        <v>139438857.3481561</v>
      </c>
      <c r="BU68" s="0">
        <v>130861364.88360535</v>
      </c>
      <c r="BV68" s="0">
        <v>130861364.88360535</v>
      </c>
      <c r="BW68" s="0">
        <v>133848888.99241643</v>
      </c>
      <c r="BX68" s="0">
        <v>138882965.08790413</v>
      </c>
      <c r="BY68" s="0">
        <v>132704009.07949802</v>
      </c>
      <c r="BZ68" s="0">
        <v>140662456.12843937</v>
      </c>
      <c r="CA68" s="0">
        <v>592652010.31573856</v>
      </c>
      <c r="CB68" s="0">
        <v>-2.675848</v>
      </c>
      <c r="CC68" s="0">
        <v>-2.36343</v>
      </c>
      <c r="CD68" s="0">
        <v>1458.5104171250002</v>
      </c>
      <c r="CE68" s="0">
        <v>-1553.9600816875</v>
      </c>
      <c r="CF68" s="0">
        <v>1417.1638335698985</v>
      </c>
      <c r="CG68" s="0">
        <v>1422.8361664301015</v>
      </c>
      <c r="CH68" s="0">
        <v>149.72878919255322</v>
      </c>
      <c r="CI68" s="0">
        <v>-141.721898073789</v>
      </c>
      <c r="CJ68" s="0">
        <v>-157.820438</v>
      </c>
      <c r="CK68" s="0">
        <v>-148.838739</v>
      </c>
      <c r="CL68" s="0">
        <v>348.48424956250005</v>
      </c>
      <c r="CM68" s="0">
        <v>-721.3987364375</v>
      </c>
      <c r="CN68" s="305">
        <v>111.50609380647299</v>
      </c>
      <c r="CO68" s="305">
        <v>-105.1686124029697</v>
      </c>
      <c r="CP68" s="305">
        <v>120848872.49291767</v>
      </c>
      <c r="CQ68" s="0">
        <v>38.599912823556281</v>
      </c>
      <c r="CR68" s="0">
        <v>-32.476421106654641</v>
      </c>
      <c r="CS68" s="0">
        <v>18.479034818582967</v>
      </c>
      <c r="CT68" s="0">
        <v>18.552998910767169</v>
      </c>
      <c r="CU68" s="0">
        <v>1319.8720409480259</v>
      </c>
      <c r="CV68" s="0">
        <v>108.581102</v>
      </c>
      <c r="CW68" s="0">
        <v>-156.26293</v>
      </c>
    </row>
    <row r="69">
      <c r="D69" s="0">
        <v>134</v>
      </c>
      <c r="E69" s="0" t="s">
        <v>126</v>
      </c>
      <c r="F69" s="0">
        <v>106350</v>
      </c>
      <c r="G69" s="0">
        <v>0</v>
      </c>
      <c r="H69" s="0">
        <v>2</v>
      </c>
      <c r="I69" s="0">
        <v>600</v>
      </c>
      <c r="J69" s="0">
        <v>22</v>
      </c>
      <c r="K69" s="0">
        <v>1936.3312351792665</v>
      </c>
      <c r="L69" s="0">
        <v>18</v>
      </c>
      <c r="M69" s="0">
        <v>120</v>
      </c>
      <c r="N69" s="0">
        <v>2800</v>
      </c>
      <c r="O69" s="0">
        <v>12</v>
      </c>
      <c r="P69" s="0">
        <v>0.125</v>
      </c>
      <c r="Q69" s="0">
        <v>0</v>
      </c>
      <c r="R69" s="0">
        <v>290</v>
      </c>
      <c r="S69" s="0">
        <v>0</v>
      </c>
      <c r="T69" s="0">
        <v>0</v>
      </c>
      <c r="U69" s="0">
        <v>2400</v>
      </c>
      <c r="V69" s="0">
        <v>2400</v>
      </c>
      <c r="W69" s="0">
        <v>0</v>
      </c>
      <c r="X69" s="0">
        <v>0</v>
      </c>
      <c r="Y69" s="0">
        <v>6100</v>
      </c>
      <c r="Z69" s="0">
        <v>39496</v>
      </c>
      <c r="AA69" s="0">
        <v>5450</v>
      </c>
      <c r="AB69" s="0">
        <v>2</v>
      </c>
      <c r="AC69" s="0">
        <v>2500</v>
      </c>
      <c r="AD69" s="0">
        <v>2</v>
      </c>
      <c r="AE69" s="0">
        <v>10</v>
      </c>
      <c r="AF69" s="0">
        <v>160</v>
      </c>
      <c r="AG69" s="0">
        <v>0</v>
      </c>
      <c r="AH69" s="0">
        <v>0</v>
      </c>
      <c r="AI69" s="0">
        <v>0</v>
      </c>
      <c r="AJ69" s="0">
        <v>5428.6721054031623</v>
      </c>
      <c r="AK69" s="0">
        <v>5428.6721054031623</v>
      </c>
      <c r="AL69" s="0">
        <v>0</v>
      </c>
      <c r="AM69" s="305">
        <v>5000</v>
      </c>
      <c r="AN69" s="305">
        <v>700</v>
      </c>
      <c r="AO69" s="305">
        <v>380</v>
      </c>
      <c r="AP69" s="305">
        <v>380</v>
      </c>
      <c r="AQ69" s="305">
        <v>355</v>
      </c>
      <c r="AR69" s="305">
        <v>46.842087589611523</v>
      </c>
      <c r="AS69" s="305">
        <v>-39.33656355203513</v>
      </c>
      <c r="AT69" s="305">
        <v>1543.6715125169553</v>
      </c>
      <c r="AU69" s="305">
        <v>1296.3284874830447</v>
      </c>
      <c r="AV69" s="305">
        <v>1288.2767191351179</v>
      </c>
      <c r="AW69" s="305">
        <v>-2.837448</v>
      </c>
      <c r="AX69" s="305">
        <v>-0.069805</v>
      </c>
      <c r="AY69" s="305">
        <v>-4.794459</v>
      </c>
      <c r="AZ69" s="305" t="s">
        <v>27</v>
      </c>
      <c r="BA69" s="305">
        <v>1278.3284874830447</v>
      </c>
      <c r="BB69" s="305">
        <v>-257.542934</v>
      </c>
      <c r="BC69" s="305">
        <v>1.219702</v>
      </c>
      <c r="BD69" s="305">
        <v>-577.300065</v>
      </c>
      <c r="BE69" s="305">
        <v>-1787.588</v>
      </c>
      <c r="BF69" s="305">
        <v>29.548883</v>
      </c>
      <c r="BG69" s="305">
        <v>-2360.07</v>
      </c>
      <c r="BH69" s="67">
        <v>380</v>
      </c>
      <c r="BI69" s="0">
        <v>380</v>
      </c>
      <c r="BJ69" s="0" t="s">
        <v>114</v>
      </c>
      <c r="BK69" s="0">
        <v>1404.9824140006833</v>
      </c>
      <c r="BL69" s="0">
        <v>57961.92331033192</v>
      </c>
      <c r="BM69" s="0">
        <v>-134.808621</v>
      </c>
      <c r="BN69" s="0">
        <v>-551.7598</v>
      </c>
      <c r="BO69" s="0">
        <v>8618.8274375</v>
      </c>
      <c r="BP69" s="0">
        <v>-7325.535</v>
      </c>
      <c r="BQ69" s="0">
        <v>109893402.73108633</v>
      </c>
      <c r="BR69" s="0">
        <v>109893402.73108633</v>
      </c>
      <c r="BS69" s="0">
        <v>119697659.12057354</v>
      </c>
      <c r="BT69" s="0">
        <v>139438857.3481561</v>
      </c>
      <c r="BU69" s="0">
        <v>130861364.88360535</v>
      </c>
      <c r="BV69" s="0">
        <v>130861364.88360535</v>
      </c>
      <c r="BW69" s="0">
        <v>133848888.99241643</v>
      </c>
      <c r="BX69" s="0">
        <v>138882965.08790413</v>
      </c>
      <c r="BY69" s="0">
        <v>132704009.07949802</v>
      </c>
      <c r="BZ69" s="0">
        <v>140662456.12843937</v>
      </c>
      <c r="CA69" s="0">
        <v>592652010.31573856</v>
      </c>
      <c r="CB69" s="0">
        <v>-2.675848</v>
      </c>
      <c r="CC69" s="0">
        <v>-2.36343</v>
      </c>
      <c r="CD69" s="0">
        <v>1458.5104171250002</v>
      </c>
      <c r="CE69" s="0">
        <v>-1553.9600816875</v>
      </c>
      <c r="CF69" s="0">
        <v>1417.1638335698985</v>
      </c>
      <c r="CG69" s="0">
        <v>1422.8361664301015</v>
      </c>
      <c r="CH69" s="0">
        <v>149.72878919255322</v>
      </c>
      <c r="CI69" s="0">
        <v>-141.721898073789</v>
      </c>
      <c r="CJ69" s="0">
        <v>-157.820438</v>
      </c>
      <c r="CK69" s="0">
        <v>-148.838739</v>
      </c>
      <c r="CL69" s="0">
        <v>348.48424956250005</v>
      </c>
      <c r="CM69" s="0">
        <v>-721.3987364375</v>
      </c>
      <c r="CN69" s="305">
        <v>111.50609380647299</v>
      </c>
      <c r="CO69" s="305">
        <v>-105.1686124029697</v>
      </c>
      <c r="CP69" s="305">
        <v>120848872.49291767</v>
      </c>
      <c r="CQ69" s="0">
        <v>38.599912823556281</v>
      </c>
      <c r="CR69" s="0">
        <v>-32.476421106654641</v>
      </c>
      <c r="CS69" s="0">
        <v>18.479034818582967</v>
      </c>
      <c r="CT69" s="0">
        <v>18.552998910767169</v>
      </c>
      <c r="CU69" s="0">
        <v>1319.8720409480259</v>
      </c>
      <c r="CV69" s="0">
        <v>108.581102</v>
      </c>
      <c r="CW69" s="0">
        <v>-156.26293</v>
      </c>
    </row>
    <row r="70">
      <c r="D70" s="0">
        <v>134</v>
      </c>
      <c r="E70" s="0" t="s">
        <v>126</v>
      </c>
      <c r="F70" s="0">
        <v>106350</v>
      </c>
      <c r="G70" s="0">
        <v>0</v>
      </c>
      <c r="H70" s="0">
        <v>2</v>
      </c>
      <c r="I70" s="0">
        <v>600</v>
      </c>
      <c r="J70" s="0">
        <v>22</v>
      </c>
      <c r="K70" s="0">
        <v>1936.3312351792665</v>
      </c>
      <c r="L70" s="0">
        <v>18</v>
      </c>
      <c r="M70" s="0">
        <v>120</v>
      </c>
      <c r="N70" s="0">
        <v>2800</v>
      </c>
      <c r="O70" s="0">
        <v>12</v>
      </c>
      <c r="P70" s="0">
        <v>0.125</v>
      </c>
      <c r="Q70" s="0">
        <v>0</v>
      </c>
      <c r="R70" s="0">
        <v>290</v>
      </c>
      <c r="S70" s="0">
        <v>0</v>
      </c>
      <c r="T70" s="0">
        <v>0</v>
      </c>
      <c r="U70" s="0">
        <v>2400</v>
      </c>
      <c r="V70" s="0">
        <v>2400</v>
      </c>
      <c r="W70" s="0">
        <v>0</v>
      </c>
      <c r="X70" s="0">
        <v>0</v>
      </c>
      <c r="Y70" s="0">
        <v>6100</v>
      </c>
      <c r="Z70" s="0">
        <v>39496</v>
      </c>
      <c r="AA70" s="0">
        <v>5450</v>
      </c>
      <c r="AB70" s="0">
        <v>2</v>
      </c>
      <c r="AC70" s="0">
        <v>2500</v>
      </c>
      <c r="AD70" s="0">
        <v>2</v>
      </c>
      <c r="AE70" s="0">
        <v>10</v>
      </c>
      <c r="AF70" s="0">
        <v>160</v>
      </c>
      <c r="AG70" s="0">
        <v>0</v>
      </c>
      <c r="AH70" s="0">
        <v>0</v>
      </c>
      <c r="AI70" s="0">
        <v>0</v>
      </c>
      <c r="AJ70" s="0">
        <v>5428.6721054031623</v>
      </c>
      <c r="AK70" s="0">
        <v>5428.6721054031623</v>
      </c>
      <c r="AL70" s="0">
        <v>0</v>
      </c>
      <c r="AM70" s="305">
        <v>5000</v>
      </c>
      <c r="AN70" s="305">
        <v>700</v>
      </c>
      <c r="AO70" s="305">
        <v>380</v>
      </c>
      <c r="AP70" s="305">
        <v>380</v>
      </c>
      <c r="AQ70" s="305">
        <v>355</v>
      </c>
      <c r="AR70" s="305">
        <v>7.1146703357000609</v>
      </c>
      <c r="AS70" s="305">
        <v>-5.9746842255192822</v>
      </c>
      <c r="AT70" s="305">
        <v>1543.6715125169553</v>
      </c>
      <c r="AU70" s="305">
        <v>1296.3284874830447</v>
      </c>
      <c r="AV70" s="305">
        <v>1288.2767191351179</v>
      </c>
      <c r="AW70" s="305">
        <v>-2.837448</v>
      </c>
      <c r="AX70" s="305">
        <v>-0.069805</v>
      </c>
      <c r="AY70" s="305">
        <v>59.413354</v>
      </c>
      <c r="AZ70" s="305" t="s">
        <v>27</v>
      </c>
      <c r="BA70" s="305">
        <v>1278.3284874830447</v>
      </c>
      <c r="BB70" s="305">
        <v>-184.908704</v>
      </c>
      <c r="BC70" s="305">
        <v>1.219702</v>
      </c>
      <c r="BD70" s="305">
        <v>-379.737565</v>
      </c>
      <c r="BE70" s="305">
        <v>-681.459177</v>
      </c>
      <c r="BF70" s="305">
        <v>23.450375</v>
      </c>
      <c r="BG70" s="305">
        <v>32.524536</v>
      </c>
      <c r="BH70" s="67">
        <v>380</v>
      </c>
      <c r="BI70" s="0">
        <v>380</v>
      </c>
      <c r="BJ70" s="0" t="s">
        <v>114</v>
      </c>
      <c r="BK70" s="0">
        <v>1404.9824140006833</v>
      </c>
      <c r="BL70" s="0">
        <v>57961.92331033192</v>
      </c>
      <c r="BM70" s="0">
        <v>421.543568</v>
      </c>
      <c r="BN70" s="0">
        <v>64.358895</v>
      </c>
      <c r="BO70" s="0">
        <v>8485.87875</v>
      </c>
      <c r="BP70" s="0">
        <v>-5704.735</v>
      </c>
      <c r="BQ70" s="0">
        <v>109893402.73108633</v>
      </c>
      <c r="BR70" s="0">
        <v>109893402.73108633</v>
      </c>
      <c r="BS70" s="0">
        <v>119697659.12057354</v>
      </c>
      <c r="BT70" s="0">
        <v>139438857.3481561</v>
      </c>
      <c r="BU70" s="0">
        <v>130861364.88360535</v>
      </c>
      <c r="BV70" s="0">
        <v>130861364.88360535</v>
      </c>
      <c r="BW70" s="0">
        <v>133848888.99241643</v>
      </c>
      <c r="BX70" s="0">
        <v>138882965.08790413</v>
      </c>
      <c r="BY70" s="0">
        <v>132704009.07949802</v>
      </c>
      <c r="BZ70" s="0">
        <v>140662456.12843937</v>
      </c>
      <c r="CA70" s="0">
        <v>592652010.31573856</v>
      </c>
      <c r="CB70" s="0">
        <v>260.331652</v>
      </c>
      <c r="CC70" s="0">
        <v>14.28632</v>
      </c>
      <c r="CD70" s="0">
        <v>2087.7894695</v>
      </c>
      <c r="CE70" s="0">
        <v>-991.11066775</v>
      </c>
      <c r="CF70" s="0">
        <v>1417.1638335698985</v>
      </c>
      <c r="CG70" s="0">
        <v>1422.8361664301015</v>
      </c>
      <c r="CH70" s="0">
        <v>75.547742936584527</v>
      </c>
      <c r="CI70" s="0">
        <v>-75.253205728022223</v>
      </c>
      <c r="CJ70" s="0">
        <v>-64.720438</v>
      </c>
      <c r="CK70" s="0">
        <v>-97.608739</v>
      </c>
      <c r="CL70" s="0">
        <v>530.4884619375</v>
      </c>
      <c r="CM70" s="0">
        <v>-536.276935125</v>
      </c>
      <c r="CN70" s="305">
        <v>54.818037593060616</v>
      </c>
      <c r="CO70" s="305">
        <v>-54.548112929322627</v>
      </c>
      <c r="CP70" s="305">
        <v>120848872.49291767</v>
      </c>
      <c r="CQ70" s="0">
        <v>2.1700001619635794</v>
      </c>
      <c r="CR70" s="0">
        <v>-1.6303482993077467</v>
      </c>
      <c r="CS70" s="0">
        <v>16.909840177209254</v>
      </c>
      <c r="CT70" s="0">
        <v>16.977523418783619</v>
      </c>
      <c r="CU70" s="0">
        <v>1319.8720409480259</v>
      </c>
      <c r="CV70" s="0">
        <v>160.909425</v>
      </c>
      <c r="CW70" s="0">
        <v>-102.508309</v>
      </c>
    </row>
    <row r="71">
      <c r="D71" s="0">
        <v>135</v>
      </c>
      <c r="E71" s="0" t="s">
        <v>130</v>
      </c>
      <c r="F71" s="0">
        <v>111350</v>
      </c>
      <c r="G71" s="0">
        <v>0</v>
      </c>
      <c r="H71" s="0">
        <v>2</v>
      </c>
      <c r="I71" s="0">
        <v>600</v>
      </c>
      <c r="J71" s="0">
        <v>22</v>
      </c>
      <c r="K71" s="0">
        <v>1936.3312351792665</v>
      </c>
      <c r="L71" s="0">
        <v>10</v>
      </c>
      <c r="M71" s="0">
        <v>120</v>
      </c>
      <c r="N71" s="0">
        <v>2800</v>
      </c>
      <c r="O71" s="0">
        <v>12</v>
      </c>
      <c r="P71" s="0">
        <v>0.125</v>
      </c>
      <c r="Q71" s="0">
        <v>0</v>
      </c>
      <c r="R71" s="0">
        <v>290</v>
      </c>
      <c r="S71" s="0">
        <v>0</v>
      </c>
      <c r="T71" s="0">
        <v>0</v>
      </c>
      <c r="U71" s="0">
        <v>2400</v>
      </c>
      <c r="V71" s="0">
        <v>2400</v>
      </c>
      <c r="W71" s="0">
        <v>0</v>
      </c>
      <c r="X71" s="0">
        <v>0</v>
      </c>
      <c r="Y71" s="0">
        <v>6100</v>
      </c>
      <c r="Z71" s="0">
        <v>39496</v>
      </c>
      <c r="AA71" s="0">
        <v>5450</v>
      </c>
      <c r="AB71" s="0">
        <v>2</v>
      </c>
      <c r="AC71" s="0">
        <v>2500</v>
      </c>
      <c r="AD71" s="0">
        <v>2</v>
      </c>
      <c r="AE71" s="0">
        <v>12</v>
      </c>
      <c r="AF71" s="0">
        <v>180</v>
      </c>
      <c r="AG71" s="0">
        <v>0</v>
      </c>
      <c r="AH71" s="0">
        <v>0</v>
      </c>
      <c r="AI71" s="0">
        <v>0</v>
      </c>
      <c r="AJ71" s="0">
        <v>5428.6721054031623</v>
      </c>
      <c r="AK71" s="0">
        <v>5428.6721054031623</v>
      </c>
      <c r="AL71" s="0">
        <v>0</v>
      </c>
      <c r="AM71" s="305">
        <v>5000</v>
      </c>
      <c r="AN71" s="305">
        <v>700</v>
      </c>
      <c r="AO71" s="305">
        <v>380</v>
      </c>
      <c r="AP71" s="305">
        <v>380</v>
      </c>
      <c r="AQ71" s="305">
        <v>355</v>
      </c>
      <c r="AR71" s="305">
        <v>7.6083300805346177</v>
      </c>
      <c r="AS71" s="305">
        <v>-7.9514667728047561</v>
      </c>
      <c r="AT71" s="305">
        <v>1384.7732712172115</v>
      </c>
      <c r="AU71" s="305">
        <v>1447.2267287827885</v>
      </c>
      <c r="AV71" s="305">
        <v>1448.411541273852</v>
      </c>
      <c r="AW71" s="305">
        <v>10.310553</v>
      </c>
      <c r="AX71" s="305">
        <v>-0.054176</v>
      </c>
      <c r="AY71" s="305">
        <v>-26.091936</v>
      </c>
      <c r="AZ71" s="305" t="s">
        <v>27</v>
      </c>
      <c r="BA71" s="305">
        <v>1437.2267287827885</v>
      </c>
      <c r="BB71" s="305">
        <v>-168.192003</v>
      </c>
      <c r="BC71" s="305">
        <v>1.21178</v>
      </c>
      <c r="BD71" s="305">
        <v>-381.324578</v>
      </c>
      <c r="BE71" s="305">
        <v>-681.459168</v>
      </c>
      <c r="BF71" s="305">
        <v>23.450376</v>
      </c>
      <c r="BG71" s="305">
        <v>32.5245</v>
      </c>
      <c r="BH71" s="67">
        <v>380</v>
      </c>
      <c r="BI71" s="0">
        <v>380</v>
      </c>
      <c r="BJ71" s="0" t="s">
        <v>114</v>
      </c>
      <c r="BK71" s="0">
        <v>1087.0106059142527</v>
      </c>
      <c r="BL71" s="0">
        <v>49342.873826390089</v>
      </c>
      <c r="BM71" s="0">
        <v>421.543423</v>
      </c>
      <c r="BN71" s="0">
        <v>64.358888</v>
      </c>
      <c r="BO71" s="0">
        <v>8485.87875</v>
      </c>
      <c r="BP71" s="0">
        <v>-5704.736</v>
      </c>
      <c r="BQ71" s="0">
        <v>102763071.09760161</v>
      </c>
      <c r="BR71" s="0">
        <v>102763071.09760161</v>
      </c>
      <c r="BS71" s="0">
        <v>112191875.17726271</v>
      </c>
      <c r="BT71" s="0">
        <v>131209513.19602327</v>
      </c>
      <c r="BU71" s="0">
        <v>98328445.221461028</v>
      </c>
      <c r="BV71" s="0">
        <v>98328445.221461028</v>
      </c>
      <c r="BW71" s="0">
        <v>100738696.27684648</v>
      </c>
      <c r="BX71" s="0">
        <v>104799276.524196</v>
      </c>
      <c r="BY71" s="0">
        <v>99012599.2470735</v>
      </c>
      <c r="BZ71" s="0">
        <v>105469153.52159309</v>
      </c>
      <c r="CA71" s="0">
        <v>538852986.87024009</v>
      </c>
      <c r="CB71" s="0">
        <v>-37.35076</v>
      </c>
      <c r="CC71" s="0">
        <v>4.56912</v>
      </c>
      <c r="CD71" s="0">
        <v>1367.8936673125</v>
      </c>
      <c r="CE71" s="0">
        <v>-1669.3056274375</v>
      </c>
      <c r="CF71" s="0">
        <v>1257.5444815778251</v>
      </c>
      <c r="CG71" s="0">
        <v>1574.4555184221749</v>
      </c>
      <c r="CH71" s="0">
        <v>80.3116958629344</v>
      </c>
      <c r="CI71" s="0">
        <v>-99.745291555423421</v>
      </c>
      <c r="CJ71" s="0">
        <v>-135.439933</v>
      </c>
      <c r="CK71" s="0">
        <v>-96.77393</v>
      </c>
      <c r="CL71" s="0">
        <v>344.10636218750005</v>
      </c>
      <c r="CM71" s="0">
        <v>-679.0610916875</v>
      </c>
      <c r="CN71" s="305">
        <v>58.277157350030592</v>
      </c>
      <c r="CO71" s="305">
        <v>-72.303124014868658</v>
      </c>
      <c r="CP71" s="305">
        <v>111824347.76465201</v>
      </c>
      <c r="CQ71" s="0">
        <v>2.3293204748499008</v>
      </c>
      <c r="CR71" s="0">
        <v>-2.1766501061539856</v>
      </c>
      <c r="CS71" s="0">
        <v>17.970411394464826</v>
      </c>
      <c r="CT71" s="0">
        <v>22.499095501442817</v>
      </c>
      <c r="CU71" s="0">
        <v>1319.8720409480259</v>
      </c>
      <c r="CV71" s="0">
        <v>109.432405</v>
      </c>
      <c r="CW71" s="0">
        <v>-150.207936</v>
      </c>
    </row>
    <row r="72">
      <c r="D72" s="0">
        <v>135</v>
      </c>
      <c r="E72" s="0" t="s">
        <v>130</v>
      </c>
      <c r="F72" s="0">
        <v>111350</v>
      </c>
      <c r="G72" s="0">
        <v>0</v>
      </c>
      <c r="H72" s="0">
        <v>2</v>
      </c>
      <c r="I72" s="0">
        <v>600</v>
      </c>
      <c r="J72" s="0">
        <v>22</v>
      </c>
      <c r="K72" s="0">
        <v>1936.3312351792665</v>
      </c>
      <c r="L72" s="0">
        <v>10</v>
      </c>
      <c r="M72" s="0">
        <v>120</v>
      </c>
      <c r="N72" s="0">
        <v>2800</v>
      </c>
      <c r="O72" s="0">
        <v>12</v>
      </c>
      <c r="P72" s="0">
        <v>0.125</v>
      </c>
      <c r="Q72" s="0">
        <v>0</v>
      </c>
      <c r="R72" s="0">
        <v>290</v>
      </c>
      <c r="S72" s="0">
        <v>0</v>
      </c>
      <c r="T72" s="0">
        <v>0</v>
      </c>
      <c r="U72" s="0">
        <v>2400</v>
      </c>
      <c r="V72" s="0">
        <v>2400</v>
      </c>
      <c r="W72" s="0">
        <v>0</v>
      </c>
      <c r="X72" s="0">
        <v>0</v>
      </c>
      <c r="Y72" s="0">
        <v>6100</v>
      </c>
      <c r="Z72" s="0">
        <v>39496</v>
      </c>
      <c r="AA72" s="0">
        <v>5450</v>
      </c>
      <c r="AB72" s="0">
        <v>2</v>
      </c>
      <c r="AC72" s="0">
        <v>2500</v>
      </c>
      <c r="AD72" s="0">
        <v>2</v>
      </c>
      <c r="AE72" s="0">
        <v>12</v>
      </c>
      <c r="AF72" s="0">
        <v>180</v>
      </c>
      <c r="AG72" s="0">
        <v>0</v>
      </c>
      <c r="AH72" s="0">
        <v>0</v>
      </c>
      <c r="AI72" s="0">
        <v>0</v>
      </c>
      <c r="AJ72" s="0">
        <v>5428.6721054031623</v>
      </c>
      <c r="AK72" s="0">
        <v>5428.6721054031623</v>
      </c>
      <c r="AL72" s="0">
        <v>0</v>
      </c>
      <c r="AM72" s="305">
        <v>5000</v>
      </c>
      <c r="AN72" s="305">
        <v>700</v>
      </c>
      <c r="AO72" s="305">
        <v>380</v>
      </c>
      <c r="AP72" s="305">
        <v>380</v>
      </c>
      <c r="AQ72" s="305">
        <v>355</v>
      </c>
      <c r="AR72" s="305">
        <v>-17.762818532508827</v>
      </c>
      <c r="AS72" s="305">
        <v>18.563923996141853</v>
      </c>
      <c r="AT72" s="305">
        <v>1384.7732712172115</v>
      </c>
      <c r="AU72" s="305">
        <v>1447.2267287827885</v>
      </c>
      <c r="AV72" s="305">
        <v>1373.3786706306405</v>
      </c>
      <c r="AW72" s="305">
        <v>10.310553</v>
      </c>
      <c r="AX72" s="305">
        <v>-0.054176</v>
      </c>
      <c r="AY72" s="305">
        <v>38.115877</v>
      </c>
      <c r="AZ72" s="305" t="s">
        <v>27</v>
      </c>
      <c r="BA72" s="305">
        <v>1362.7732712172115</v>
      </c>
      <c r="BB72" s="305">
        <v>-103.454445</v>
      </c>
      <c r="BC72" s="305">
        <v>1.21178</v>
      </c>
      <c r="BD72" s="305">
        <v>-183.762078</v>
      </c>
      <c r="BE72" s="305">
        <v>-2.343048</v>
      </c>
      <c r="BF72" s="305">
        <v>17.391475</v>
      </c>
      <c r="BG72" s="305">
        <v>1445.241</v>
      </c>
      <c r="BH72" s="67">
        <v>380</v>
      </c>
      <c r="BI72" s="0">
        <v>380</v>
      </c>
      <c r="BJ72" s="0" t="s">
        <v>114</v>
      </c>
      <c r="BK72" s="0">
        <v>1087.0106059142527</v>
      </c>
      <c r="BL72" s="0">
        <v>49342.873826390089</v>
      </c>
      <c r="BM72" s="0">
        <v>865.993088</v>
      </c>
      <c r="BN72" s="0">
        <v>420.153539</v>
      </c>
      <c r="BO72" s="0">
        <v>8231.3960625</v>
      </c>
      <c r="BP72" s="0">
        <v>-4210.164375</v>
      </c>
      <c r="BQ72" s="0">
        <v>102763071.09760161</v>
      </c>
      <c r="BR72" s="0">
        <v>102763071.09760161</v>
      </c>
      <c r="BS72" s="0">
        <v>112191875.17726271</v>
      </c>
      <c r="BT72" s="0">
        <v>131209513.19602327</v>
      </c>
      <c r="BU72" s="0">
        <v>98328445.221461028</v>
      </c>
      <c r="BV72" s="0">
        <v>98328445.221461028</v>
      </c>
      <c r="BW72" s="0">
        <v>100738696.27684648</v>
      </c>
      <c r="BX72" s="0">
        <v>104799276.524196</v>
      </c>
      <c r="BY72" s="0">
        <v>99012599.2470735</v>
      </c>
      <c r="BZ72" s="0">
        <v>105469153.52159309</v>
      </c>
      <c r="CA72" s="0">
        <v>538852986.87024009</v>
      </c>
      <c r="CB72" s="0">
        <v>225.65674</v>
      </c>
      <c r="CC72" s="0">
        <v>21.21887</v>
      </c>
      <c r="CD72" s="0">
        <v>1950.2007540000002</v>
      </c>
      <c r="CE72" s="0">
        <v>-1085.3527093125</v>
      </c>
      <c r="CF72" s="0">
        <v>1257.5444815778251</v>
      </c>
      <c r="CG72" s="0">
        <v>1574.4555184221749</v>
      </c>
      <c r="CH72" s="0">
        <v>24.728390554403219</v>
      </c>
      <c r="CI72" s="0">
        <v>-36.7469324410864</v>
      </c>
      <c r="CJ72" s="0">
        <v>-42.339933</v>
      </c>
      <c r="CK72" s="0">
        <v>-45.54393</v>
      </c>
      <c r="CL72" s="0">
        <v>515.22858475</v>
      </c>
      <c r="CM72" s="0">
        <v>-496.2096031875</v>
      </c>
      <c r="CN72" s="305">
        <v>16.03947574896095</v>
      </c>
      <c r="CO72" s="305">
        <v>-24.607387017513464</v>
      </c>
      <c r="CP72" s="305">
        <v>111824347.76465201</v>
      </c>
      <c r="CQ72" s="0">
        <v>-21.929112244440745</v>
      </c>
      <c r="CR72" s="0">
        <v>23.447568573169342</v>
      </c>
      <c r="CS72" s="0">
        <v>16.204593588221933</v>
      </c>
      <c r="CT72" s="0">
        <v>20.288277808474231</v>
      </c>
      <c r="CU72" s="0">
        <v>1319.8720409480259</v>
      </c>
      <c r="CV72" s="0">
        <v>156.516893</v>
      </c>
      <c r="CW72" s="0">
        <v>-98.676822</v>
      </c>
    </row>
    <row r="73">
      <c r="D73" s="0">
        <v>136</v>
      </c>
      <c r="E73" s="0" t="s">
        <v>126</v>
      </c>
      <c r="F73" s="0">
        <v>116350</v>
      </c>
      <c r="G73" s="0">
        <v>0</v>
      </c>
      <c r="H73" s="0">
        <v>2</v>
      </c>
      <c r="I73" s="0">
        <v>600</v>
      </c>
      <c r="J73" s="0">
        <v>22</v>
      </c>
      <c r="K73" s="0">
        <v>1936.3312351792665</v>
      </c>
      <c r="L73" s="0">
        <v>10</v>
      </c>
      <c r="M73" s="0">
        <v>120</v>
      </c>
      <c r="N73" s="0">
        <v>2800</v>
      </c>
      <c r="O73" s="0">
        <v>12</v>
      </c>
      <c r="P73" s="0">
        <v>0.125</v>
      </c>
      <c r="Q73" s="0">
        <v>0</v>
      </c>
      <c r="R73" s="0">
        <v>290</v>
      </c>
      <c r="S73" s="0">
        <v>0</v>
      </c>
      <c r="T73" s="0">
        <v>0</v>
      </c>
      <c r="U73" s="0">
        <v>2400</v>
      </c>
      <c r="V73" s="0">
        <v>2400</v>
      </c>
      <c r="W73" s="0">
        <v>0</v>
      </c>
      <c r="X73" s="0">
        <v>0</v>
      </c>
      <c r="Y73" s="0">
        <v>6100</v>
      </c>
      <c r="Z73" s="0">
        <v>39496</v>
      </c>
      <c r="AA73" s="0">
        <v>5450</v>
      </c>
      <c r="AB73" s="0">
        <v>2</v>
      </c>
      <c r="AC73" s="0">
        <v>2500</v>
      </c>
      <c r="AD73" s="0">
        <v>2</v>
      </c>
      <c r="AE73" s="0">
        <v>12</v>
      </c>
      <c r="AF73" s="0">
        <v>180</v>
      </c>
      <c r="AG73" s="0">
        <v>0</v>
      </c>
      <c r="AH73" s="0">
        <v>0</v>
      </c>
      <c r="AI73" s="0">
        <v>0</v>
      </c>
      <c r="AJ73" s="0">
        <v>5428.6721054031623</v>
      </c>
      <c r="AK73" s="0">
        <v>5428.6721054031623</v>
      </c>
      <c r="AL73" s="0">
        <v>0</v>
      </c>
      <c r="AM73" s="305">
        <v>5000</v>
      </c>
      <c r="AN73" s="305">
        <v>700</v>
      </c>
      <c r="AO73" s="305">
        <v>380</v>
      </c>
      <c r="AP73" s="305">
        <v>380</v>
      </c>
      <c r="AQ73" s="305">
        <v>355</v>
      </c>
      <c r="AR73" s="305">
        <v>-17.762818532508827</v>
      </c>
      <c r="AS73" s="305">
        <v>18.563923996141853</v>
      </c>
      <c r="AT73" s="305">
        <v>1384.7732712172115</v>
      </c>
      <c r="AU73" s="305">
        <v>1447.2267287827885</v>
      </c>
      <c r="AV73" s="305">
        <v>1373.3786706306405</v>
      </c>
      <c r="AW73" s="305">
        <v>10.310553</v>
      </c>
      <c r="AX73" s="305">
        <v>-0.054176</v>
      </c>
      <c r="AY73" s="305">
        <v>38.115877</v>
      </c>
      <c r="AZ73" s="305" t="s">
        <v>27</v>
      </c>
      <c r="BA73" s="305">
        <v>1362.7732712172115</v>
      </c>
      <c r="BB73" s="305">
        <v>-103.454445</v>
      </c>
      <c r="BC73" s="305">
        <v>1.21178</v>
      </c>
      <c r="BD73" s="305">
        <v>-183.762078</v>
      </c>
      <c r="BE73" s="305">
        <v>-2.343048</v>
      </c>
      <c r="BF73" s="305">
        <v>17.391475</v>
      </c>
      <c r="BG73" s="305">
        <v>1445.241</v>
      </c>
      <c r="BH73" s="67">
        <v>380</v>
      </c>
      <c r="BI73" s="0">
        <v>380</v>
      </c>
      <c r="BJ73" s="0" t="s">
        <v>114</v>
      </c>
      <c r="BK73" s="0">
        <v>1087.0106059142527</v>
      </c>
      <c r="BL73" s="0">
        <v>49342.873826390089</v>
      </c>
      <c r="BM73" s="0">
        <v>865.993088</v>
      </c>
      <c r="BN73" s="0">
        <v>420.153539</v>
      </c>
      <c r="BO73" s="0">
        <v>8231.3960625</v>
      </c>
      <c r="BP73" s="0">
        <v>-4210.164375</v>
      </c>
      <c r="BQ73" s="0">
        <v>102763071.09760161</v>
      </c>
      <c r="BR73" s="0">
        <v>102763071.09760161</v>
      </c>
      <c r="BS73" s="0">
        <v>112191875.17726271</v>
      </c>
      <c r="BT73" s="0">
        <v>131209513.19602327</v>
      </c>
      <c r="BU73" s="0">
        <v>98328445.221461028</v>
      </c>
      <c r="BV73" s="0">
        <v>98328445.221461028</v>
      </c>
      <c r="BW73" s="0">
        <v>100738696.27684648</v>
      </c>
      <c r="BX73" s="0">
        <v>104799276.524196</v>
      </c>
      <c r="BY73" s="0">
        <v>99012599.2470735</v>
      </c>
      <c r="BZ73" s="0">
        <v>105469153.52159309</v>
      </c>
      <c r="CA73" s="0">
        <v>538852986.87024009</v>
      </c>
      <c r="CB73" s="0">
        <v>225.65674</v>
      </c>
      <c r="CC73" s="0">
        <v>21.21887</v>
      </c>
      <c r="CD73" s="0">
        <v>1950.2007540000002</v>
      </c>
      <c r="CE73" s="0">
        <v>-1085.3527093125</v>
      </c>
      <c r="CF73" s="0">
        <v>1257.5444815778251</v>
      </c>
      <c r="CG73" s="0">
        <v>1574.4555184221749</v>
      </c>
      <c r="CH73" s="0">
        <v>24.728390554403219</v>
      </c>
      <c r="CI73" s="0">
        <v>-36.7469324410864</v>
      </c>
      <c r="CJ73" s="0">
        <v>-42.339933</v>
      </c>
      <c r="CK73" s="0">
        <v>-45.54393</v>
      </c>
      <c r="CL73" s="0">
        <v>515.22858475</v>
      </c>
      <c r="CM73" s="0">
        <v>-496.2096031875</v>
      </c>
      <c r="CN73" s="305">
        <v>16.03947574896095</v>
      </c>
      <c r="CO73" s="305">
        <v>-24.607387017513464</v>
      </c>
      <c r="CP73" s="305">
        <v>111824347.76465201</v>
      </c>
      <c r="CQ73" s="0">
        <v>-21.929112244440745</v>
      </c>
      <c r="CR73" s="0">
        <v>23.447568573169342</v>
      </c>
      <c r="CS73" s="0">
        <v>16.204593588221933</v>
      </c>
      <c r="CT73" s="0">
        <v>20.288277808474231</v>
      </c>
      <c r="CU73" s="0">
        <v>1319.8720409480259</v>
      </c>
      <c r="CV73" s="0">
        <v>156.516893</v>
      </c>
      <c r="CW73" s="0">
        <v>-98.676822</v>
      </c>
    </row>
    <row r="74">
      <c r="D74" s="0">
        <v>136</v>
      </c>
      <c r="E74" s="0" t="s">
        <v>126</v>
      </c>
      <c r="F74" s="0">
        <v>116350</v>
      </c>
      <c r="G74" s="0">
        <v>0</v>
      </c>
      <c r="H74" s="0">
        <v>2</v>
      </c>
      <c r="I74" s="0">
        <v>600</v>
      </c>
      <c r="J74" s="0">
        <v>22</v>
      </c>
      <c r="K74" s="0">
        <v>1936.3312351792665</v>
      </c>
      <c r="L74" s="0">
        <v>10</v>
      </c>
      <c r="M74" s="0">
        <v>120</v>
      </c>
      <c r="N74" s="0">
        <v>2800</v>
      </c>
      <c r="O74" s="0">
        <v>12</v>
      </c>
      <c r="P74" s="0">
        <v>0.125</v>
      </c>
      <c r="Q74" s="0">
        <v>0</v>
      </c>
      <c r="R74" s="0">
        <v>290</v>
      </c>
      <c r="S74" s="0">
        <v>0</v>
      </c>
      <c r="T74" s="0">
        <v>0</v>
      </c>
      <c r="U74" s="0">
        <v>2400</v>
      </c>
      <c r="V74" s="0">
        <v>2400</v>
      </c>
      <c r="W74" s="0">
        <v>0</v>
      </c>
      <c r="X74" s="0">
        <v>0</v>
      </c>
      <c r="Y74" s="0">
        <v>6100</v>
      </c>
      <c r="Z74" s="0">
        <v>39496</v>
      </c>
      <c r="AA74" s="0">
        <v>5450</v>
      </c>
      <c r="AB74" s="0">
        <v>2</v>
      </c>
      <c r="AC74" s="0">
        <v>2500</v>
      </c>
      <c r="AD74" s="0">
        <v>2</v>
      </c>
      <c r="AE74" s="0">
        <v>12</v>
      </c>
      <c r="AF74" s="0">
        <v>180</v>
      </c>
      <c r="AG74" s="0">
        <v>0</v>
      </c>
      <c r="AH74" s="0">
        <v>0</v>
      </c>
      <c r="AI74" s="0">
        <v>0</v>
      </c>
      <c r="AJ74" s="0">
        <v>5428.6721054031623</v>
      </c>
      <c r="AK74" s="0">
        <v>5428.6721054031623</v>
      </c>
      <c r="AL74" s="0">
        <v>0</v>
      </c>
      <c r="AM74" s="305">
        <v>5000</v>
      </c>
      <c r="AN74" s="305">
        <v>700</v>
      </c>
      <c r="AO74" s="305">
        <v>380</v>
      </c>
      <c r="AP74" s="305">
        <v>380</v>
      </c>
      <c r="AQ74" s="305">
        <v>355</v>
      </c>
      <c r="AR74" s="305">
        <v>-27.181005213410664</v>
      </c>
      <c r="AS74" s="305">
        <v>28.406872141209849</v>
      </c>
      <c r="AT74" s="305">
        <v>1384.7732712172115</v>
      </c>
      <c r="AU74" s="305">
        <v>1447.2267287827885</v>
      </c>
      <c r="AV74" s="305">
        <v>1373.3786706306405</v>
      </c>
      <c r="AW74" s="305">
        <v>10.310553</v>
      </c>
      <c r="AX74" s="305">
        <v>-0.054176</v>
      </c>
      <c r="AY74" s="305">
        <v>102.323689</v>
      </c>
      <c r="AZ74" s="305" t="s">
        <v>27</v>
      </c>
      <c r="BA74" s="305">
        <v>1362.7732712172115</v>
      </c>
      <c r="BB74" s="305">
        <v>-38.716887</v>
      </c>
      <c r="BC74" s="305">
        <v>1.21178</v>
      </c>
      <c r="BD74" s="305">
        <v>13.800422</v>
      </c>
      <c r="BE74" s="305">
        <v>353.085283</v>
      </c>
      <c r="BF74" s="305">
        <v>11.332574</v>
      </c>
      <c r="BG74" s="305">
        <v>1870.145</v>
      </c>
      <c r="BH74" s="67">
        <v>380</v>
      </c>
      <c r="BI74" s="0">
        <v>380</v>
      </c>
      <c r="BJ74" s="0" t="s">
        <v>117</v>
      </c>
      <c r="BK74" s="0">
        <v>240</v>
      </c>
      <c r="BL74" s="0">
        <v>65874.675050676145</v>
      </c>
      <c r="BM74" s="0">
        <v>844.942752</v>
      </c>
      <c r="BN74" s="0">
        <v>519.798191</v>
      </c>
      <c r="BO74" s="0">
        <v>6463.026</v>
      </c>
      <c r="BP74" s="0">
        <v>-2715.7042408125</v>
      </c>
      <c r="BQ74" s="0">
        <v>98328445.221461028</v>
      </c>
      <c r="BR74" s="0">
        <v>98328445.221461028</v>
      </c>
      <c r="BS74" s="0">
        <v>123041540.73265676</v>
      </c>
      <c r="BT74" s="0">
        <v>132264230.82950398</v>
      </c>
      <c r="BU74" s="0">
        <v>102763071.09760161</v>
      </c>
      <c r="BV74" s="0">
        <v>102763071.09760161</v>
      </c>
      <c r="BW74" s="0">
        <v>347267850.453889</v>
      </c>
      <c r="BX74" s="0">
        <v>959942265.83035111</v>
      </c>
      <c r="BY74" s="0">
        <v>99012599.2470735</v>
      </c>
      <c r="BZ74" s="0">
        <v>105469153.52159309</v>
      </c>
      <c r="CA74" s="0">
        <v>538852986.87024009</v>
      </c>
      <c r="CB74" s="0">
        <v>488.66424</v>
      </c>
      <c r="CC74" s="0">
        <v>37.86862</v>
      </c>
      <c r="CD74" s="0">
        <v>2672.9433445000004</v>
      </c>
      <c r="CE74" s="0">
        <v>-629.62538425</v>
      </c>
      <c r="CF74" s="0">
        <v>342.9500766152355</v>
      </c>
      <c r="CG74" s="0">
        <v>2489.0499233847645</v>
      </c>
      <c r="CH74" s="0">
        <v>-44.586535171582312</v>
      </c>
      <c r="CI74" s="0">
        <v>131.2837585721478</v>
      </c>
      <c r="CJ74" s="0">
        <v>50.760067</v>
      </c>
      <c r="CK74" s="0">
        <v>5.68607</v>
      </c>
      <c r="CL74" s="0">
        <v>731.8651371875</v>
      </c>
      <c r="CM74" s="0">
        <v>-347.19880812499997</v>
      </c>
      <c r="CN74" s="305">
        <v>-34.427282406906812</v>
      </c>
      <c r="CO74" s="305">
        <v>97.341061378439576</v>
      </c>
      <c r="CP74" s="305">
        <v>586883374.0057292</v>
      </c>
      <c r="CQ74" s="0">
        <v>-24.177919562480565</v>
      </c>
      <c r="CR74" s="0">
        <v>29.592631747284646</v>
      </c>
      <c r="CS74" s="0">
        <v>1.7107353324311529</v>
      </c>
      <c r="CT74" s="0">
        <v>12.416109336218778</v>
      </c>
      <c r="CU74" s="0">
        <v>1319.8720409480259</v>
      </c>
      <c r="CV74" s="0">
        <v>212.124339</v>
      </c>
      <c r="CW74" s="0">
        <v>-53.037901</v>
      </c>
    </row>
    <row r="75">
      <c r="D75" s="0">
        <v>137</v>
      </c>
      <c r="E75" s="0" t="s">
        <v>130</v>
      </c>
      <c r="F75" s="0">
        <v>121350</v>
      </c>
      <c r="G75" s="0">
        <v>0</v>
      </c>
      <c r="H75" s="0">
        <v>2</v>
      </c>
      <c r="I75" s="0">
        <v>600</v>
      </c>
      <c r="J75" s="0">
        <v>22</v>
      </c>
      <c r="K75" s="0">
        <v>1936.3312351792665</v>
      </c>
      <c r="L75" s="0">
        <v>10</v>
      </c>
      <c r="M75" s="0">
        <v>120</v>
      </c>
      <c r="N75" s="0">
        <v>2800</v>
      </c>
      <c r="O75" s="0">
        <v>12</v>
      </c>
      <c r="P75" s="0">
        <v>0.125</v>
      </c>
      <c r="Q75" s="0">
        <v>0</v>
      </c>
      <c r="R75" s="0">
        <v>290</v>
      </c>
      <c r="S75" s="0">
        <v>0</v>
      </c>
      <c r="T75" s="0">
        <v>0</v>
      </c>
      <c r="U75" s="0">
        <v>2400</v>
      </c>
      <c r="V75" s="0">
        <v>2400</v>
      </c>
      <c r="W75" s="0">
        <v>0</v>
      </c>
      <c r="X75" s="0">
        <v>0</v>
      </c>
      <c r="Y75" s="0">
        <v>6100</v>
      </c>
      <c r="Z75" s="0">
        <v>39496</v>
      </c>
      <c r="AA75" s="0">
        <v>5450</v>
      </c>
      <c r="AB75" s="0">
        <v>2</v>
      </c>
      <c r="AC75" s="0">
        <v>2342.5</v>
      </c>
      <c r="AD75" s="0">
        <v>2</v>
      </c>
      <c r="AE75" s="0">
        <v>12</v>
      </c>
      <c r="AF75" s="0">
        <v>180</v>
      </c>
      <c r="AG75" s="0">
        <v>0</v>
      </c>
      <c r="AH75" s="0">
        <v>0</v>
      </c>
      <c r="AI75" s="0">
        <v>0</v>
      </c>
      <c r="AJ75" s="0">
        <v>5428.6721054031623</v>
      </c>
      <c r="AK75" s="0">
        <v>5428.6721054031623</v>
      </c>
      <c r="AL75" s="0">
        <v>0</v>
      </c>
      <c r="AM75" s="305">
        <v>4685</v>
      </c>
      <c r="AN75" s="305">
        <v>700</v>
      </c>
      <c r="AO75" s="305">
        <v>380</v>
      </c>
      <c r="AP75" s="305">
        <v>380</v>
      </c>
      <c r="AQ75" s="305">
        <v>355</v>
      </c>
      <c r="AR75" s="305">
        <v>-27.181004398429181</v>
      </c>
      <c r="AS75" s="305">
        <v>28.406871289472591</v>
      </c>
      <c r="AT75" s="305">
        <v>1384.7732712172115</v>
      </c>
      <c r="AU75" s="305">
        <v>1447.2267287827885</v>
      </c>
      <c r="AV75" s="305">
        <v>1373.3786706306405</v>
      </c>
      <c r="AW75" s="305">
        <v>25.950731</v>
      </c>
      <c r="AX75" s="305">
        <v>-0.046342</v>
      </c>
      <c r="AY75" s="305">
        <v>43.488881</v>
      </c>
      <c r="AZ75" s="305" t="s">
        <v>27</v>
      </c>
      <c r="BA75" s="305">
        <v>1362.7732712172115</v>
      </c>
      <c r="BB75" s="305">
        <v>-22.97659</v>
      </c>
      <c r="BC75" s="305">
        <v>1.209453</v>
      </c>
      <c r="BD75" s="305">
        <v>14.472611</v>
      </c>
      <c r="BE75" s="305">
        <v>353.085216</v>
      </c>
      <c r="BF75" s="305">
        <v>11.332574</v>
      </c>
      <c r="BG75" s="305">
        <v>1870.145</v>
      </c>
      <c r="BH75" s="67">
        <v>380</v>
      </c>
      <c r="BI75" s="0">
        <v>380</v>
      </c>
      <c r="BJ75" s="0" t="s">
        <v>117</v>
      </c>
      <c r="BK75" s="0">
        <v>240</v>
      </c>
      <c r="BL75" s="0">
        <v>65874.675050676145</v>
      </c>
      <c r="BM75" s="0">
        <v>844.943801</v>
      </c>
      <c r="BN75" s="0">
        <v>519.798237</v>
      </c>
      <c r="BO75" s="0">
        <v>6463.029875</v>
      </c>
      <c r="BP75" s="0">
        <v>-2715.705590625</v>
      </c>
      <c r="BQ75" s="0">
        <v>98328445.221461028</v>
      </c>
      <c r="BR75" s="0">
        <v>98328445.221461028</v>
      </c>
      <c r="BS75" s="0">
        <v>123041540.73265676</v>
      </c>
      <c r="BT75" s="0">
        <v>132264230.82950398</v>
      </c>
      <c r="BU75" s="0">
        <v>102763071.09760161</v>
      </c>
      <c r="BV75" s="0">
        <v>102763071.09760161</v>
      </c>
      <c r="BW75" s="0">
        <v>347267850.453889</v>
      </c>
      <c r="BX75" s="0">
        <v>959942265.83035111</v>
      </c>
      <c r="BY75" s="0">
        <v>99012599.2470735</v>
      </c>
      <c r="BZ75" s="0">
        <v>105469153.52159309</v>
      </c>
      <c r="CA75" s="0">
        <v>538852986.87024009</v>
      </c>
      <c r="CB75" s="0">
        <v>280.205032</v>
      </c>
      <c r="CC75" s="0">
        <v>33.326138</v>
      </c>
      <c r="CD75" s="0">
        <v>2049.2571145</v>
      </c>
      <c r="CE75" s="0">
        <v>-1001.990333</v>
      </c>
      <c r="CF75" s="0">
        <v>342.9500766152355</v>
      </c>
      <c r="CG75" s="0">
        <v>2489.0499233847645</v>
      </c>
      <c r="CH75" s="0">
        <v>-44.58654559726051</v>
      </c>
      <c r="CI75" s="0">
        <v>131.28382167351288</v>
      </c>
      <c r="CJ75" s="0">
        <v>2.941037</v>
      </c>
      <c r="CK75" s="0">
        <v>7.472235</v>
      </c>
      <c r="CL75" s="0">
        <v>579.884752125</v>
      </c>
      <c r="CM75" s="0">
        <v>-423.0926191875</v>
      </c>
      <c r="CN75" s="305">
        <v>-34.427290155818696</v>
      </c>
      <c r="CO75" s="305">
        <v>97.3411076831221</v>
      </c>
      <c r="CP75" s="305">
        <v>586883374.0057292</v>
      </c>
      <c r="CQ75" s="0">
        <v>-24.177921931218428</v>
      </c>
      <c r="CR75" s="0">
        <v>29.592639591470785</v>
      </c>
      <c r="CS75" s="0">
        <v>1.7107362676436466</v>
      </c>
      <c r="CT75" s="0">
        <v>12.416116123768175</v>
      </c>
      <c r="CU75" s="0">
        <v>1421.9490384501353</v>
      </c>
      <c r="CV75" s="0">
        <v>175.854965</v>
      </c>
      <c r="CW75" s="0">
        <v>-88.264751</v>
      </c>
    </row>
    <row r="76">
      <c r="D76" s="0">
        <v>137</v>
      </c>
      <c r="E76" s="0" t="s">
        <v>130</v>
      </c>
      <c r="F76" s="0">
        <v>121350</v>
      </c>
      <c r="G76" s="0">
        <v>0</v>
      </c>
      <c r="H76" s="0">
        <v>2</v>
      </c>
      <c r="I76" s="0">
        <v>600</v>
      </c>
      <c r="J76" s="0">
        <v>22</v>
      </c>
      <c r="K76" s="0">
        <v>1936.3312351792665</v>
      </c>
      <c r="L76" s="0">
        <v>10</v>
      </c>
      <c r="M76" s="0">
        <v>120</v>
      </c>
      <c r="N76" s="0">
        <v>2800</v>
      </c>
      <c r="O76" s="0">
        <v>12</v>
      </c>
      <c r="P76" s="0">
        <v>0.125</v>
      </c>
      <c r="Q76" s="0">
        <v>0</v>
      </c>
      <c r="R76" s="0">
        <v>290</v>
      </c>
      <c r="S76" s="0">
        <v>0</v>
      </c>
      <c r="T76" s="0">
        <v>0</v>
      </c>
      <c r="U76" s="0">
        <v>2400</v>
      </c>
      <c r="V76" s="0">
        <v>2400</v>
      </c>
      <c r="W76" s="0">
        <v>0</v>
      </c>
      <c r="X76" s="0">
        <v>0</v>
      </c>
      <c r="Y76" s="0">
        <v>6100</v>
      </c>
      <c r="Z76" s="0">
        <v>39496</v>
      </c>
      <c r="AA76" s="0">
        <v>5450</v>
      </c>
      <c r="AB76" s="0">
        <v>2</v>
      </c>
      <c r="AC76" s="0">
        <v>2342.5</v>
      </c>
      <c r="AD76" s="0">
        <v>2</v>
      </c>
      <c r="AE76" s="0">
        <v>12</v>
      </c>
      <c r="AF76" s="0">
        <v>180</v>
      </c>
      <c r="AG76" s="0">
        <v>0</v>
      </c>
      <c r="AH76" s="0">
        <v>0</v>
      </c>
      <c r="AI76" s="0">
        <v>0</v>
      </c>
      <c r="AJ76" s="0">
        <v>5428.6721054031623</v>
      </c>
      <c r="AK76" s="0">
        <v>5428.6721054031623</v>
      </c>
      <c r="AL76" s="0">
        <v>0</v>
      </c>
      <c r="AM76" s="305">
        <v>4685</v>
      </c>
      <c r="AN76" s="305">
        <v>700</v>
      </c>
      <c r="AO76" s="305">
        <v>380</v>
      </c>
      <c r="AP76" s="305">
        <v>380</v>
      </c>
      <c r="AQ76" s="305">
        <v>355</v>
      </c>
      <c r="AR76" s="305">
        <v>-20.59360777559899</v>
      </c>
      <c r="AS76" s="305">
        <v>21.52238220825755</v>
      </c>
      <c r="AT76" s="305">
        <v>1384.7732712172115</v>
      </c>
      <c r="AU76" s="305">
        <v>1447.2267287827885</v>
      </c>
      <c r="AV76" s="305">
        <v>1373.3786706306405</v>
      </c>
      <c r="AW76" s="305">
        <v>25.950731</v>
      </c>
      <c r="AX76" s="305">
        <v>-0.046342</v>
      </c>
      <c r="AY76" s="305">
        <v>103.651602</v>
      </c>
      <c r="AZ76" s="305" t="s">
        <v>27</v>
      </c>
      <c r="BA76" s="305">
        <v>1362.7732712172115</v>
      </c>
      <c r="BB76" s="305">
        <v>37.682502</v>
      </c>
      <c r="BC76" s="305">
        <v>1.209453</v>
      </c>
      <c r="BD76" s="305">
        <v>199.588674</v>
      </c>
      <c r="BE76" s="305">
        <v>318.636617</v>
      </c>
      <c r="BF76" s="305">
        <v>5.666287</v>
      </c>
      <c r="BG76" s="305">
        <v>1368.707</v>
      </c>
      <c r="BH76" s="67">
        <v>380</v>
      </c>
      <c r="BI76" s="0">
        <v>380</v>
      </c>
      <c r="BJ76" s="0" t="s">
        <v>117</v>
      </c>
      <c r="BK76" s="0">
        <v>240</v>
      </c>
      <c r="BL76" s="0">
        <v>65874.675050676145</v>
      </c>
      <c r="BM76" s="0">
        <v>626.817756</v>
      </c>
      <c r="BN76" s="0">
        <v>372.344938</v>
      </c>
      <c r="BO76" s="0">
        <v>4058.1566734999997</v>
      </c>
      <c r="BP76" s="0">
        <v>-1357.8071103125</v>
      </c>
      <c r="BQ76" s="0">
        <v>98328445.221461028</v>
      </c>
      <c r="BR76" s="0">
        <v>98328445.221461028</v>
      </c>
      <c r="BS76" s="0">
        <v>123041540.73265676</v>
      </c>
      <c r="BT76" s="0">
        <v>132264230.82950398</v>
      </c>
      <c r="BU76" s="0">
        <v>102763071.09760161</v>
      </c>
      <c r="BV76" s="0">
        <v>102763071.09760161</v>
      </c>
      <c r="BW76" s="0">
        <v>347267850.453889</v>
      </c>
      <c r="BX76" s="0">
        <v>959942265.83035111</v>
      </c>
      <c r="BY76" s="0">
        <v>99012599.2470735</v>
      </c>
      <c r="BZ76" s="0">
        <v>105469153.52159309</v>
      </c>
      <c r="CA76" s="0">
        <v>538852986.87024009</v>
      </c>
      <c r="CB76" s="0">
        <v>526.64306</v>
      </c>
      <c r="CC76" s="0">
        <v>48.926953</v>
      </c>
      <c r="CD76" s="0">
        <v>2785.0472185</v>
      </c>
      <c r="CE76" s="0">
        <v>-593.91699225</v>
      </c>
      <c r="CF76" s="0">
        <v>342.9500766152355</v>
      </c>
      <c r="CG76" s="0">
        <v>2489.0499233847645</v>
      </c>
      <c r="CH76" s="0">
        <v>-32.067675385790793</v>
      </c>
      <c r="CI76" s="0">
        <v>87.6575372157296</v>
      </c>
      <c r="CJ76" s="0">
        <v>90.175737</v>
      </c>
      <c r="CK76" s="0">
        <v>55.474745</v>
      </c>
      <c r="CL76" s="0">
        <v>802.1264506875001</v>
      </c>
      <c r="CM76" s="0">
        <v>-308.08174631250006</v>
      </c>
      <c r="CN76" s="305">
        <v>-24.847847695476659</v>
      </c>
      <c r="CO76" s="305">
        <v>65.22528821743839</v>
      </c>
      <c r="CP76" s="305">
        <v>586883374.0057292</v>
      </c>
      <c r="CQ76" s="0">
        <v>-18.279884164229905</v>
      </c>
      <c r="CR76" s="0">
        <v>22.312264568256147</v>
      </c>
      <c r="CS76" s="0">
        <v>1.0380793853138965</v>
      </c>
      <c r="CT76" s="0">
        <v>7.5341327810278482</v>
      </c>
      <c r="CU76" s="0">
        <v>1421.9490384501353</v>
      </c>
      <c r="CV76" s="0">
        <v>234.763544</v>
      </c>
      <c r="CW76" s="0">
        <v>-48.836292</v>
      </c>
    </row>
    <row r="77">
      <c r="D77" s="0">
        <v>138</v>
      </c>
      <c r="E77" s="0" t="s">
        <v>126</v>
      </c>
      <c r="F77" s="0">
        <v>126035</v>
      </c>
      <c r="G77" s="0">
        <v>0</v>
      </c>
      <c r="H77" s="0">
        <v>2</v>
      </c>
      <c r="I77" s="0">
        <v>600</v>
      </c>
      <c r="J77" s="0">
        <v>22</v>
      </c>
      <c r="K77" s="0">
        <v>1936.3312351792665</v>
      </c>
      <c r="L77" s="0">
        <v>10</v>
      </c>
      <c r="M77" s="0">
        <v>120</v>
      </c>
      <c r="N77" s="0">
        <v>2800</v>
      </c>
      <c r="O77" s="0">
        <v>12</v>
      </c>
      <c r="P77" s="0">
        <v>0.125</v>
      </c>
      <c r="Q77" s="0">
        <v>0</v>
      </c>
      <c r="R77" s="0">
        <v>290</v>
      </c>
      <c r="S77" s="0">
        <v>0</v>
      </c>
      <c r="T77" s="0">
        <v>0</v>
      </c>
      <c r="U77" s="0">
        <v>2400</v>
      </c>
      <c r="V77" s="0">
        <v>2400</v>
      </c>
      <c r="W77" s="0">
        <v>0</v>
      </c>
      <c r="X77" s="0">
        <v>0</v>
      </c>
      <c r="Y77" s="0">
        <v>6100</v>
      </c>
      <c r="Z77" s="0">
        <v>39496</v>
      </c>
      <c r="AA77" s="0">
        <v>5450</v>
      </c>
      <c r="AB77" s="0">
        <v>2</v>
      </c>
      <c r="AC77" s="0">
        <v>2342.5</v>
      </c>
      <c r="AD77" s="0">
        <v>2</v>
      </c>
      <c r="AE77" s="0">
        <v>12</v>
      </c>
      <c r="AF77" s="0">
        <v>180</v>
      </c>
      <c r="AG77" s="0">
        <v>0</v>
      </c>
      <c r="AH77" s="0">
        <v>0</v>
      </c>
      <c r="AI77" s="0">
        <v>0</v>
      </c>
      <c r="AJ77" s="0">
        <v>5428.6721054031623</v>
      </c>
      <c r="AK77" s="0">
        <v>5428.6721054031623</v>
      </c>
      <c r="AL77" s="0">
        <v>0</v>
      </c>
      <c r="AM77" s="305">
        <v>4685</v>
      </c>
      <c r="AN77" s="305">
        <v>700</v>
      </c>
      <c r="AO77" s="305">
        <v>380</v>
      </c>
      <c r="AP77" s="305">
        <v>380</v>
      </c>
      <c r="AQ77" s="305">
        <v>355</v>
      </c>
      <c r="AR77" s="305">
        <v>-20.59360777559899</v>
      </c>
      <c r="AS77" s="305">
        <v>21.52238220825755</v>
      </c>
      <c r="AT77" s="305">
        <v>1384.7732712172115</v>
      </c>
      <c r="AU77" s="305">
        <v>1447.2267287827885</v>
      </c>
      <c r="AV77" s="305">
        <v>1373.3786706306405</v>
      </c>
      <c r="AW77" s="305">
        <v>25.950731</v>
      </c>
      <c r="AX77" s="305">
        <v>-0.046342</v>
      </c>
      <c r="AY77" s="305">
        <v>103.651602</v>
      </c>
      <c r="AZ77" s="305" t="s">
        <v>27</v>
      </c>
      <c r="BA77" s="305">
        <v>1362.7732712172115</v>
      </c>
      <c r="BB77" s="305">
        <v>37.682502</v>
      </c>
      <c r="BC77" s="305">
        <v>1.209453</v>
      </c>
      <c r="BD77" s="305">
        <v>199.588674</v>
      </c>
      <c r="BE77" s="305">
        <v>318.636617</v>
      </c>
      <c r="BF77" s="305">
        <v>5.666287</v>
      </c>
      <c r="BG77" s="305">
        <v>1368.707</v>
      </c>
      <c r="BH77" s="67">
        <v>380</v>
      </c>
      <c r="BI77" s="0">
        <v>380</v>
      </c>
      <c r="BJ77" s="0" t="s">
        <v>117</v>
      </c>
      <c r="BK77" s="0">
        <v>240</v>
      </c>
      <c r="BL77" s="0">
        <v>65874.675050676145</v>
      </c>
      <c r="BM77" s="0">
        <v>626.817756</v>
      </c>
      <c r="BN77" s="0">
        <v>372.344938</v>
      </c>
      <c r="BO77" s="0">
        <v>4058.1566734999997</v>
      </c>
      <c r="BP77" s="0">
        <v>-1357.8071103125</v>
      </c>
      <c r="BQ77" s="0">
        <v>98328445.221461028</v>
      </c>
      <c r="BR77" s="0">
        <v>98328445.221461028</v>
      </c>
      <c r="BS77" s="0">
        <v>123041540.73265676</v>
      </c>
      <c r="BT77" s="0">
        <v>132264230.82950398</v>
      </c>
      <c r="BU77" s="0">
        <v>102763071.09760161</v>
      </c>
      <c r="BV77" s="0">
        <v>102763071.09760161</v>
      </c>
      <c r="BW77" s="0">
        <v>347267850.453889</v>
      </c>
      <c r="BX77" s="0">
        <v>959942265.83035111</v>
      </c>
      <c r="BY77" s="0">
        <v>99012599.2470735</v>
      </c>
      <c r="BZ77" s="0">
        <v>105469153.52159309</v>
      </c>
      <c r="CA77" s="0">
        <v>538852986.87024009</v>
      </c>
      <c r="CB77" s="0">
        <v>526.64306</v>
      </c>
      <c r="CC77" s="0">
        <v>48.926953</v>
      </c>
      <c r="CD77" s="0">
        <v>2785.0472185</v>
      </c>
      <c r="CE77" s="0">
        <v>-593.91699225</v>
      </c>
      <c r="CF77" s="0">
        <v>342.9500766152355</v>
      </c>
      <c r="CG77" s="0">
        <v>2489.0499233847645</v>
      </c>
      <c r="CH77" s="0">
        <v>-32.067675385790793</v>
      </c>
      <c r="CI77" s="0">
        <v>87.6575372157296</v>
      </c>
      <c r="CJ77" s="0">
        <v>90.175737</v>
      </c>
      <c r="CK77" s="0">
        <v>55.474745</v>
      </c>
      <c r="CL77" s="0">
        <v>802.1264506875001</v>
      </c>
      <c r="CM77" s="0">
        <v>-308.08174631250006</v>
      </c>
      <c r="CN77" s="305">
        <v>-24.847847695476659</v>
      </c>
      <c r="CO77" s="305">
        <v>65.22528821743839</v>
      </c>
      <c r="CP77" s="305">
        <v>586883374.0057292</v>
      </c>
      <c r="CQ77" s="0">
        <v>-18.279884164229905</v>
      </c>
      <c r="CR77" s="0">
        <v>22.312264568256147</v>
      </c>
      <c r="CS77" s="0">
        <v>1.0380793853138965</v>
      </c>
      <c r="CT77" s="0">
        <v>7.5341327810278482</v>
      </c>
      <c r="CU77" s="0">
        <v>1421.9490384501353</v>
      </c>
      <c r="CV77" s="0">
        <v>234.763544</v>
      </c>
      <c r="CW77" s="0">
        <v>-48.836292</v>
      </c>
    </row>
    <row r="78">
      <c r="D78" s="0">
        <v>138</v>
      </c>
      <c r="E78" s="0" t="s">
        <v>126</v>
      </c>
      <c r="F78" s="0">
        <v>126035</v>
      </c>
      <c r="G78" s="0">
        <v>0</v>
      </c>
      <c r="H78" s="0">
        <v>2</v>
      </c>
      <c r="I78" s="0">
        <v>600</v>
      </c>
      <c r="J78" s="0">
        <v>22</v>
      </c>
      <c r="K78" s="0">
        <v>1936.3312351792665</v>
      </c>
      <c r="L78" s="0">
        <v>10</v>
      </c>
      <c r="M78" s="0">
        <v>120</v>
      </c>
      <c r="N78" s="0">
        <v>2800</v>
      </c>
      <c r="O78" s="0">
        <v>12</v>
      </c>
      <c r="P78" s="0">
        <v>0.125</v>
      </c>
      <c r="Q78" s="0">
        <v>0</v>
      </c>
      <c r="R78" s="0">
        <v>290</v>
      </c>
      <c r="S78" s="0">
        <v>0</v>
      </c>
      <c r="T78" s="0">
        <v>0</v>
      </c>
      <c r="U78" s="0">
        <v>2400</v>
      </c>
      <c r="V78" s="0">
        <v>2400</v>
      </c>
      <c r="W78" s="0">
        <v>0</v>
      </c>
      <c r="X78" s="0">
        <v>0</v>
      </c>
      <c r="Y78" s="0">
        <v>6100</v>
      </c>
      <c r="Z78" s="0">
        <v>39496</v>
      </c>
      <c r="AA78" s="0">
        <v>5450</v>
      </c>
      <c r="AB78" s="0">
        <v>2</v>
      </c>
      <c r="AC78" s="0">
        <v>2342.5</v>
      </c>
      <c r="AD78" s="0">
        <v>2</v>
      </c>
      <c r="AE78" s="0">
        <v>12</v>
      </c>
      <c r="AF78" s="0">
        <v>180</v>
      </c>
      <c r="AG78" s="0">
        <v>0</v>
      </c>
      <c r="AH78" s="0">
        <v>0</v>
      </c>
      <c r="AI78" s="0">
        <v>0</v>
      </c>
      <c r="AJ78" s="0">
        <v>5428.6721054031623</v>
      </c>
      <c r="AK78" s="0">
        <v>5428.6721054031623</v>
      </c>
      <c r="AL78" s="0">
        <v>0</v>
      </c>
      <c r="AM78" s="305">
        <v>4685</v>
      </c>
      <c r="AN78" s="305">
        <v>700</v>
      </c>
      <c r="AO78" s="305">
        <v>380</v>
      </c>
      <c r="AP78" s="305">
        <v>380</v>
      </c>
      <c r="AQ78" s="305">
        <v>355</v>
      </c>
      <c r="AR78" s="305">
        <v>3.24209364746959E-06</v>
      </c>
      <c r="AS78" s="305">
        <v>-3.3883124994971778E-06</v>
      </c>
      <c r="AT78" s="305">
        <v>1384.7732712172115</v>
      </c>
      <c r="AU78" s="305">
        <v>1447.2267287827885</v>
      </c>
      <c r="AV78" s="305">
        <v>1448.411541273852</v>
      </c>
      <c r="AW78" s="305">
        <v>25.950731</v>
      </c>
      <c r="AX78" s="305">
        <v>-0.046342</v>
      </c>
      <c r="AY78" s="305">
        <v>163.814322</v>
      </c>
      <c r="AZ78" s="305" t="s">
        <v>27</v>
      </c>
      <c r="BA78" s="305">
        <v>1437.2267287827885</v>
      </c>
      <c r="BB78" s="305">
        <v>98.341594</v>
      </c>
      <c r="BC78" s="305">
        <v>1.209453</v>
      </c>
      <c r="BD78" s="305">
        <v>384.704736</v>
      </c>
      <c r="BE78" s="305">
        <v>0.000172</v>
      </c>
      <c r="BF78" s="305">
        <v>-5.34E-07</v>
      </c>
      <c r="BG78" s="305">
        <v>-0.000438</v>
      </c>
      <c r="BH78" s="67">
        <v>380</v>
      </c>
      <c r="BI78" s="0">
        <v>380</v>
      </c>
      <c r="BJ78" s="0" t="s">
        <v>114</v>
      </c>
      <c r="BK78" s="0">
        <v>1087.0106059142527</v>
      </c>
      <c r="BL78" s="0">
        <v>49342.873826390089</v>
      </c>
      <c r="BM78" s="0">
        <v>-0.002858</v>
      </c>
      <c r="BN78" s="0">
        <v>-0.000121</v>
      </c>
      <c r="BO78" s="0">
        <v>0.0013904999999999998</v>
      </c>
      <c r="BP78" s="0">
        <v>-0.010814625</v>
      </c>
      <c r="BQ78" s="0">
        <v>102763071.09760161</v>
      </c>
      <c r="BR78" s="0">
        <v>102763071.09760161</v>
      </c>
      <c r="BS78" s="0">
        <v>112191875.17726271</v>
      </c>
      <c r="BT78" s="0">
        <v>131209513.19602327</v>
      </c>
      <c r="BU78" s="0">
        <v>98328445.221461028</v>
      </c>
      <c r="BV78" s="0">
        <v>98328445.221461028</v>
      </c>
      <c r="BW78" s="0">
        <v>100738696.27684648</v>
      </c>
      <c r="BX78" s="0">
        <v>104799276.524196</v>
      </c>
      <c r="BY78" s="0">
        <v>99012599.2470735</v>
      </c>
      <c r="BZ78" s="0">
        <v>105469153.52159309</v>
      </c>
      <c r="CA78" s="0">
        <v>538852986.87024009</v>
      </c>
      <c r="CB78" s="0">
        <v>773.081087</v>
      </c>
      <c r="CC78" s="0">
        <v>64.527769</v>
      </c>
      <c r="CD78" s="0">
        <v>3701.4377809999996</v>
      </c>
      <c r="CE78" s="0">
        <v>-273.0267621875</v>
      </c>
      <c r="CF78" s="0">
        <v>1257.5444815778251</v>
      </c>
      <c r="CG78" s="0">
        <v>1574.4555184221749</v>
      </c>
      <c r="CH78" s="0">
        <v>1.1444848794728917E-05</v>
      </c>
      <c r="CI78" s="0">
        <v>-1.4974849990003291E-05</v>
      </c>
      <c r="CJ78" s="0">
        <v>177.410437</v>
      </c>
      <c r="CK78" s="0">
        <v>103.477255</v>
      </c>
      <c r="CL78" s="0">
        <v>1077.328629625</v>
      </c>
      <c r="CM78" s="0">
        <v>-289.8195383125</v>
      </c>
      <c r="CN78" s="305">
        <v>9.288985639232007E-06</v>
      </c>
      <c r="CO78" s="305">
        <v>-1.3255024950165016E-05</v>
      </c>
      <c r="CP78" s="305">
        <v>111824347.76465201</v>
      </c>
      <c r="CQ78" s="0">
        <v>1.082363342483E-05</v>
      </c>
      <c r="CR78" s="0">
        <v>-2.5938577600161759E-05</v>
      </c>
      <c r="CS78" s="0">
        <v>2.8368893598453922E-06</v>
      </c>
      <c r="CT78" s="0">
        <v>2.0589466879449986E-05</v>
      </c>
      <c r="CU78" s="0">
        <v>1421.9490384501353</v>
      </c>
      <c r="CV78" s="0">
        <v>303.442741</v>
      </c>
      <c r="CW78" s="0">
        <v>-48.836292</v>
      </c>
    </row>
  </sheetData>
  <phoneticPr fontId="28" type="noConversion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6960-91D1-480B-87CF-C34A15086A7A}">
  <dimension ref="A1:AM1211"/>
  <sheetViews>
    <sheetView showGridLines="0" topLeftCell="A87" zoomScaleNormal="100" zoomScaleSheetLayoutView="100" workbookViewId="0">
      <selection activeCell="M113" sqref="M113"/>
    </sheetView>
  </sheetViews>
  <sheetFormatPr defaultRowHeight="15" customHeight="1"/>
  <cols>
    <col min="1" max="1" width="6.5703125" customWidth="1"/>
    <col min="2" max="2" width="6.5703125" customWidth="1"/>
    <col min="3" max="3" width="6.5703125" customWidth="1"/>
    <col min="4" max="4" width="6.5703125" customWidth="1"/>
    <col min="5" max="5" width="6.5703125" customWidth="1"/>
    <col min="6" max="6" width="6.5703125" customWidth="1"/>
    <col min="7" max="7" width="6.5703125" customWidth="1"/>
    <col min="8" max="8" width="6.5703125" customWidth="1"/>
    <col min="9" max="9" width="6.5703125" customWidth="1"/>
    <col min="10" max="10" width="6.5703125" customWidth="1"/>
    <col min="11" max="11" width="6.5703125" customWidth="1"/>
    <col min="12" max="12" width="6.5703125" customWidth="1"/>
    <col min="13" max="13" width="6.5703125" customWidth="1"/>
    <col min="14" max="14" width="6.5703125" customWidth="1" style="67"/>
    <col min="15" max="15" width="5.7109375" customWidth="1" style="305"/>
    <col min="16" max="16" width="9" customWidth="1" style="366"/>
  </cols>
  <sheetData>
    <row r="1" ht="1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4"/>
      <c r="N1" s="64"/>
      <c r="O1" s="296"/>
    </row>
    <row r="2" ht="15" customHeight="1">
      <c r="A2" s="6"/>
      <c r="B2" s="7">
        <v>7</v>
      </c>
      <c r="C2" s="167" t="s">
        <v>134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296"/>
    </row>
    <row r="3" ht="15" customHeight="1">
      <c r="A3" s="8"/>
      <c r="B3" s="9"/>
      <c r="C3" s="9"/>
      <c r="D3" s="4"/>
      <c r="E3" s="4"/>
      <c r="F3" s="4"/>
      <c r="G3" s="4"/>
      <c r="H3" s="4"/>
      <c r="I3" s="4"/>
      <c r="J3" s="4"/>
      <c r="K3" s="4"/>
      <c r="L3" s="4"/>
      <c r="M3" s="4"/>
      <c r="N3" s="65"/>
      <c r="O3" s="383"/>
    </row>
    <row r="4" ht="15" customHeight="1">
      <c r="A4" s="10" t="s">
        <v>135</v>
      </c>
      <c r="B4" s="4"/>
      <c r="C4" s="4"/>
      <c r="D4" s="4"/>
      <c r="E4" s="4"/>
      <c r="F4" s="4"/>
      <c r="G4" s="4"/>
      <c r="H4" s="4"/>
      <c r="I4" s="4"/>
      <c r="J4" s="4"/>
      <c r="K4" s="4"/>
      <c r="L4" s="5"/>
      <c r="M4" s="4"/>
      <c r="N4" s="65"/>
      <c r="O4" s="384"/>
    </row>
    <row r="5" ht="15" customHeight="1">
      <c r="A5" s="11"/>
      <c r="B5" s="4"/>
      <c r="C5" s="4"/>
      <c r="D5" s="4"/>
      <c r="E5" s="4"/>
      <c r="F5" s="12"/>
      <c r="G5" s="13"/>
      <c r="H5" s="4"/>
      <c r="I5" s="4"/>
      <c r="J5" s="4"/>
      <c r="K5" s="4"/>
      <c r="L5" s="5"/>
      <c r="M5" s="4"/>
      <c r="N5" s="65"/>
      <c r="O5" s="383"/>
    </row>
    <row r="6" ht="15" customHeight="1">
      <c r="A6" s="14"/>
      <c r="B6" s="15" t="s">
        <v>136</v>
      </c>
      <c r="C6" s="16"/>
      <c r="D6" s="16"/>
      <c r="E6" s="16"/>
      <c r="F6" s="16"/>
      <c r="G6" s="16"/>
      <c r="H6" s="16"/>
      <c r="I6" s="16"/>
      <c r="J6" s="16"/>
      <c r="K6" s="16"/>
      <c r="L6" s="17"/>
      <c r="M6" s="4"/>
      <c r="N6" s="65"/>
      <c r="O6" s="383"/>
    </row>
    <row r="7" ht="15" customHeight="1">
      <c r="A7" s="14"/>
      <c r="B7" s="18"/>
      <c r="C7" s="4"/>
      <c r="D7" s="4"/>
      <c r="E7" s="4"/>
      <c r="F7" s="19" t="s">
        <v>137</v>
      </c>
      <c r="G7" s="4"/>
      <c r="H7" s="4"/>
      <c r="I7" s="4"/>
      <c r="J7" s="4"/>
      <c r="K7" s="4"/>
      <c r="L7" s="20"/>
      <c r="M7" s="4"/>
      <c r="N7" s="68" t="s">
        <v>138</v>
      </c>
    </row>
    <row r="8" ht="15" customHeight="1">
      <c r="A8" s="14"/>
      <c r="B8" s="21"/>
      <c r="C8" s="22"/>
      <c r="D8" s="22"/>
      <c r="E8" s="22"/>
      <c r="F8" s="23"/>
      <c r="G8" s="22"/>
      <c r="H8" s="22"/>
      <c r="I8" s="22"/>
      <c r="J8" s="22"/>
      <c r="K8" s="22"/>
      <c r="L8" s="24"/>
      <c r="M8" s="4"/>
      <c r="N8" s="69"/>
    </row>
    <row r="9" ht="15" customHeight="1">
      <c r="A9" s="14"/>
      <c r="B9" s="25" t="s">
        <v>139</v>
      </c>
      <c r="C9" s="4"/>
      <c r="D9" s="4"/>
      <c r="E9" s="4"/>
      <c r="F9" s="26"/>
      <c r="G9" s="4"/>
      <c r="H9" s="4"/>
      <c r="I9" s="4"/>
      <c r="J9" s="4"/>
      <c r="K9" s="4"/>
      <c r="L9" s="27"/>
      <c r="M9" s="4"/>
      <c r="N9" s="69"/>
    </row>
    <row r="10" ht="15" customHeight="1">
      <c r="A10" s="14"/>
      <c r="B10" s="28" t="s">
        <v>140</v>
      </c>
      <c r="C10" s="4"/>
      <c r="D10" s="4"/>
      <c r="E10" s="4"/>
      <c r="F10" s="19" t="s">
        <v>141</v>
      </c>
      <c r="G10" s="4"/>
      <c r="H10" s="4"/>
      <c r="I10" s="4"/>
      <c r="J10" s="4"/>
      <c r="K10" s="4"/>
      <c r="L10" s="20"/>
      <c r="M10" s="4"/>
      <c r="N10" s="68" t="s">
        <v>142</v>
      </c>
    </row>
    <row r="11" ht="15" customHeight="1">
      <c r="A11" s="14"/>
      <c r="B11" s="29"/>
      <c r="C11" s="4"/>
      <c r="D11" s="4"/>
      <c r="E11" s="4"/>
      <c r="F11" s="19" t="s">
        <v>143</v>
      </c>
      <c r="G11" s="4"/>
      <c r="H11" s="4"/>
      <c r="I11" s="4"/>
      <c r="J11" s="4"/>
      <c r="K11" s="4"/>
      <c r="L11" s="20"/>
      <c r="M11" s="4"/>
      <c r="N11" s="68" t="s">
        <v>144</v>
      </c>
    </row>
    <row r="12" ht="15" customHeight="1">
      <c r="A12" s="14"/>
      <c r="B12" s="29"/>
      <c r="C12" s="30" t="s">
        <v>145</v>
      </c>
      <c r="D12" s="4"/>
      <c r="E12" s="4"/>
      <c r="F12" s="19" t="s">
        <v>146</v>
      </c>
      <c r="G12" s="4"/>
      <c r="H12" s="4"/>
      <c r="I12" s="4"/>
      <c r="J12" s="4"/>
      <c r="K12" s="4"/>
      <c r="L12" s="20"/>
      <c r="M12" s="4"/>
      <c r="N12" s="68" t="s">
        <v>147</v>
      </c>
    </row>
    <row r="13" ht="15" customHeight="1">
      <c r="A13" s="14"/>
      <c r="B13" s="28"/>
      <c r="C13" s="4"/>
      <c r="D13" s="4"/>
      <c r="E13" s="4"/>
      <c r="F13" s="19"/>
      <c r="G13" s="4"/>
      <c r="H13" s="4"/>
      <c r="I13" s="4"/>
      <c r="J13" s="4"/>
      <c r="K13" s="4"/>
      <c r="L13" s="27"/>
      <c r="M13" s="4"/>
      <c r="N13" s="69"/>
    </row>
    <row r="14" ht="15" customHeight="1">
      <c r="A14" s="14"/>
      <c r="B14" s="28" t="s">
        <v>148</v>
      </c>
      <c r="C14" s="4"/>
      <c r="D14" s="30"/>
      <c r="E14" s="4"/>
      <c r="F14" s="19" t="s">
        <v>149</v>
      </c>
      <c r="G14" s="4"/>
      <c r="H14" s="4"/>
      <c r="I14" s="4"/>
      <c r="J14" s="4"/>
      <c r="K14" s="4"/>
      <c r="L14" s="20"/>
      <c r="M14" s="4"/>
      <c r="N14" s="68" t="s">
        <v>150</v>
      </c>
    </row>
    <row r="15" ht="15" customHeight="1">
      <c r="A15" s="14"/>
      <c r="B15" s="29"/>
      <c r="C15" s="30" t="s">
        <v>145</v>
      </c>
      <c r="D15" s="4"/>
      <c r="E15" s="4"/>
      <c r="F15" s="19" t="s">
        <v>146</v>
      </c>
      <c r="G15" s="4"/>
      <c r="H15" s="4"/>
      <c r="I15" s="4"/>
      <c r="J15" s="4"/>
      <c r="K15" s="4"/>
      <c r="L15" s="20"/>
      <c r="M15" s="4"/>
      <c r="N15" s="68" t="s">
        <v>151</v>
      </c>
    </row>
    <row r="16" ht="15" customHeight="1">
      <c r="A16" s="14"/>
      <c r="B16" s="31"/>
      <c r="C16" s="22"/>
      <c r="D16" s="22"/>
      <c r="E16" s="22"/>
      <c r="F16" s="23"/>
      <c r="G16" s="22"/>
      <c r="H16" s="22"/>
      <c r="I16" s="22"/>
      <c r="J16" s="22"/>
      <c r="K16" s="22"/>
      <c r="L16" s="24"/>
      <c r="M16" s="4"/>
      <c r="N16" s="69"/>
    </row>
    <row r="17" ht="15" customHeight="1">
      <c r="A17" s="14"/>
      <c r="B17" s="32" t="s">
        <v>152</v>
      </c>
      <c r="C17" s="4"/>
      <c r="D17" s="4"/>
      <c r="E17" s="4"/>
      <c r="F17" s="19"/>
      <c r="G17" s="4"/>
      <c r="H17" s="4"/>
      <c r="I17" s="4"/>
      <c r="J17" s="4"/>
      <c r="K17" s="4"/>
      <c r="L17" s="27"/>
      <c r="M17" s="4"/>
      <c r="N17" s="69"/>
    </row>
    <row r="18" ht="15" customHeight="1">
      <c r="A18" s="14"/>
      <c r="B18" s="28" t="s">
        <v>140</v>
      </c>
      <c r="C18" s="4"/>
      <c r="D18" s="4"/>
      <c r="E18" s="4"/>
      <c r="F18" s="19" t="s">
        <v>153</v>
      </c>
      <c r="G18" s="4"/>
      <c r="H18" s="4"/>
      <c r="I18" s="4"/>
      <c r="J18" s="4"/>
      <c r="K18" s="4"/>
      <c r="L18" s="20"/>
      <c r="M18" s="4"/>
      <c r="N18" s="68" t="s">
        <v>154</v>
      </c>
    </row>
    <row r="19" ht="15" customHeight="1">
      <c r="A19" s="4"/>
      <c r="B19" s="28"/>
      <c r="C19" s="4"/>
      <c r="D19" s="4"/>
      <c r="E19" s="4"/>
      <c r="F19" s="19"/>
      <c r="G19" s="4"/>
      <c r="H19" s="4"/>
      <c r="I19" s="4"/>
      <c r="J19" s="4"/>
      <c r="K19" s="4"/>
      <c r="L19" s="33"/>
      <c r="M19" s="4"/>
      <c r="N19" s="70"/>
    </row>
    <row r="20" ht="15" customHeight="1">
      <c r="A20" s="4"/>
      <c r="B20" s="28" t="s">
        <v>148</v>
      </c>
      <c r="C20" s="4"/>
      <c r="D20" s="4"/>
      <c r="E20" s="4"/>
      <c r="F20" s="19" t="s">
        <v>155</v>
      </c>
      <c r="G20" s="4"/>
      <c r="H20" s="4"/>
      <c r="I20" s="4"/>
      <c r="J20" s="4"/>
      <c r="K20" s="4"/>
      <c r="L20" s="20"/>
      <c r="M20" s="4"/>
      <c r="N20" s="68" t="s">
        <v>156</v>
      </c>
    </row>
    <row r="21" ht="15" customHeight="1">
      <c r="A21" s="4"/>
      <c r="B21" s="31"/>
      <c r="C21" s="22"/>
      <c r="D21" s="22"/>
      <c r="E21" s="22"/>
      <c r="F21" s="23"/>
      <c r="G21" s="22"/>
      <c r="H21" s="22"/>
      <c r="I21" s="22"/>
      <c r="J21" s="22"/>
      <c r="K21" s="22"/>
      <c r="L21" s="24"/>
      <c r="M21" s="4"/>
      <c r="N21" s="69"/>
    </row>
    <row r="22" ht="15" customHeight="1">
      <c r="A22" s="4"/>
      <c r="B22" s="32" t="s">
        <v>2</v>
      </c>
      <c r="C22" s="4"/>
      <c r="D22" s="4"/>
      <c r="E22" s="4"/>
      <c r="F22" s="19"/>
      <c r="G22" s="4"/>
      <c r="H22" s="4"/>
      <c r="I22" s="4"/>
      <c r="J22" s="4"/>
      <c r="K22" s="4"/>
      <c r="L22" s="27"/>
      <c r="M22" s="4"/>
      <c r="N22" s="69"/>
    </row>
    <row r="23" ht="15" customHeight="1">
      <c r="A23" s="4"/>
      <c r="B23" s="29"/>
      <c r="C23" s="4"/>
      <c r="D23" s="4"/>
      <c r="E23" s="4"/>
      <c r="F23" s="19" t="s">
        <v>157</v>
      </c>
      <c r="G23" s="4"/>
      <c r="H23" s="4"/>
      <c r="I23" s="4"/>
      <c r="J23" s="4"/>
      <c r="K23" s="4"/>
      <c r="L23" s="20"/>
      <c r="M23" s="4"/>
      <c r="N23" s="68" t="s">
        <v>158</v>
      </c>
    </row>
    <row r="24" ht="15" customHeight="1">
      <c r="A24" s="4"/>
      <c r="B24" s="34"/>
      <c r="C24" s="35"/>
      <c r="D24" s="35"/>
      <c r="E24" s="35"/>
      <c r="F24" s="36"/>
      <c r="G24" s="35"/>
      <c r="H24" s="35"/>
      <c r="I24" s="35"/>
      <c r="J24" s="35"/>
      <c r="K24" s="35"/>
      <c r="L24" s="37"/>
      <c r="M24" s="4"/>
      <c r="N24" s="69"/>
    </row>
    <row r="25" ht="1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69"/>
    </row>
    <row r="26" ht="15" customHeight="1">
      <c r="A26" s="4"/>
      <c r="B26" s="4"/>
      <c r="C26" s="4"/>
      <c r="D26" s="4"/>
      <c r="E26" s="4"/>
      <c r="F26" s="4"/>
      <c r="G26" s="38"/>
      <c r="H26" s="4"/>
      <c r="I26" s="4"/>
      <c r="J26" s="4"/>
      <c r="K26" s="4"/>
      <c r="L26" s="5"/>
      <c r="M26" s="4"/>
      <c r="N26" s="69"/>
    </row>
    <row r="27" ht="15" customHeight="1">
      <c r="A27" s="4"/>
      <c r="B27" s="4"/>
      <c r="C27" s="4"/>
      <c r="D27" s="4"/>
      <c r="E27" s="4"/>
      <c r="F27" s="4"/>
      <c r="G27" s="38"/>
      <c r="H27" s="4"/>
      <c r="I27" s="4"/>
      <c r="J27" s="4"/>
      <c r="K27" s="4"/>
      <c r="L27" s="5"/>
      <c r="M27" s="4"/>
      <c r="N27" s="69"/>
    </row>
    <row r="28" ht="15" customHeight="1">
      <c r="A28" s="39" t="s">
        <v>159</v>
      </c>
      <c r="B28" s="19"/>
      <c r="C28" s="4"/>
      <c r="D28" s="4"/>
      <c r="E28" s="4"/>
      <c r="F28" s="4"/>
      <c r="G28" s="38"/>
      <c r="H28" s="4"/>
      <c r="I28" s="4"/>
      <c r="J28" s="4"/>
      <c r="K28" s="4"/>
      <c r="L28" s="5"/>
      <c r="M28" s="4"/>
      <c r="N28" s="68" t="s">
        <v>160</v>
      </c>
    </row>
    <row r="29" ht="15" customHeight="1">
      <c r="A29" s="40"/>
      <c r="B29" s="19"/>
      <c r="C29" s="4"/>
      <c r="D29" s="4"/>
      <c r="E29" s="4"/>
      <c r="F29" s="4"/>
      <c r="G29" s="38"/>
      <c r="H29" s="4"/>
      <c r="I29" s="4"/>
      <c r="J29" s="4"/>
      <c r="K29" s="4"/>
      <c r="L29" s="5"/>
      <c r="M29" s="4"/>
      <c r="N29" s="65"/>
      <c r="O29" s="383"/>
    </row>
    <row r="30" ht="20.1" customHeight="1">
      <c r="A30" s="40"/>
      <c r="B30" s="19"/>
      <c r="C30" s="41"/>
      <c r="D30" s="42"/>
      <c r="E30" s="43" t="s">
        <v>161</v>
      </c>
      <c r="F30" s="42"/>
      <c r="G30" s="44"/>
      <c r="H30" s="45"/>
      <c r="I30" s="4"/>
      <c r="J30" s="4"/>
      <c r="K30" s="4"/>
      <c r="L30" s="5"/>
      <c r="M30" s="4"/>
      <c r="N30" s="65"/>
      <c r="O30" s="383"/>
    </row>
    <row r="31" ht="15" customHeight="1">
      <c r="A31" s="40"/>
      <c r="B31" s="19"/>
      <c r="C31" s="4"/>
      <c r="D31" s="4"/>
      <c r="E31" s="4"/>
      <c r="F31" s="4"/>
      <c r="G31" s="38"/>
      <c r="H31" s="4"/>
      <c r="I31" s="4"/>
      <c r="J31" s="4"/>
      <c r="K31" s="4"/>
      <c r="L31" s="5"/>
      <c r="M31" s="4"/>
      <c r="N31" s="65"/>
      <c r="O31" s="383"/>
    </row>
    <row r="32" ht="15" customHeight="1">
      <c r="A32" s="4"/>
      <c r="B32" s="19" t="s">
        <v>162</v>
      </c>
      <c r="C32" s="4"/>
      <c r="D32" s="4"/>
      <c r="E32" s="4"/>
      <c r="F32" s="4"/>
      <c r="G32" s="38"/>
      <c r="H32" s="4"/>
      <c r="I32" s="4"/>
      <c r="J32" s="4"/>
      <c r="K32" s="4"/>
      <c r="L32" s="5"/>
      <c r="M32" s="4"/>
      <c r="N32" s="65"/>
      <c r="O32" s="383"/>
    </row>
    <row r="33" ht="20.1" customHeight="1">
      <c r="A33" s="4"/>
      <c r="B33" s="46" t="s">
        <v>163</v>
      </c>
      <c r="C33" s="46"/>
      <c r="D33" s="46"/>
      <c r="E33" s="47"/>
      <c r="F33" s="47"/>
      <c r="G33" s="46"/>
      <c r="H33" s="46"/>
      <c r="I33" s="46" t="s">
        <v>164</v>
      </c>
      <c r="J33" s="47"/>
      <c r="K33" s="47"/>
      <c r="L33" s="4"/>
      <c r="M33" s="4"/>
      <c r="N33" s="65"/>
      <c r="O33" s="383"/>
    </row>
    <row r="34" ht="20.1" customHeight="1">
      <c r="A34" s="4"/>
      <c r="B34" s="48"/>
      <c r="C34" s="48"/>
      <c r="D34" s="48"/>
      <c r="E34" s="114" t="s">
        <v>165</v>
      </c>
      <c r="F34" s="114"/>
      <c r="G34" s="114"/>
      <c r="H34" s="114"/>
      <c r="I34" s="114" t="s">
        <v>166</v>
      </c>
      <c r="J34" s="114"/>
      <c r="K34" s="114"/>
      <c r="L34" s="4"/>
      <c r="M34" s="4"/>
      <c r="N34" s="65"/>
      <c r="O34" s="383"/>
    </row>
    <row r="35" ht="15" customHeight="1">
      <c r="A35" s="4"/>
      <c r="B35" s="4" t="s">
        <v>139</v>
      </c>
      <c r="C35" s="4"/>
      <c r="D35" s="4"/>
      <c r="E35" s="521" t="s">
        <v>167</v>
      </c>
      <c r="F35" s="521"/>
      <c r="G35" s="115"/>
      <c r="H35" s="169"/>
      <c r="I35" s="170">
        <v>0.85</v>
      </c>
      <c r="J35" s="517" t="s">
        <v>168</v>
      </c>
      <c r="K35" s="517"/>
      <c r="L35" s="4"/>
    </row>
    <row r="36" ht="15" customHeight="1">
      <c r="A36" s="4"/>
      <c r="B36" s="49"/>
      <c r="C36" s="49"/>
      <c r="D36" s="49"/>
      <c r="E36" s="501"/>
      <c r="F36" s="501"/>
      <c r="G36" s="49"/>
      <c r="H36" s="92"/>
      <c r="I36" s="51" t="s">
        <v>169</v>
      </c>
      <c r="J36" s="518"/>
      <c r="K36" s="518"/>
      <c r="L36" s="4"/>
    </row>
    <row r="37" ht="20.1" customHeight="1">
      <c r="A37" s="4"/>
      <c r="B37" s="22" t="s">
        <v>152</v>
      </c>
      <c r="C37" s="22"/>
      <c r="D37" s="22"/>
      <c r="E37" s="22"/>
      <c r="F37" s="22"/>
      <c r="G37" s="22"/>
      <c r="H37" s="128"/>
      <c r="I37" s="22" t="s">
        <v>170</v>
      </c>
      <c r="J37" s="52"/>
      <c r="K37" s="52"/>
      <c r="L37" s="4"/>
      <c r="M37" s="4"/>
      <c r="N37" s="65"/>
      <c r="O37" s="383"/>
    </row>
    <row r="38" ht="15" customHeight="1">
      <c r="A38" s="4"/>
      <c r="B38" s="53"/>
      <c r="C38" s="53"/>
      <c r="D38" s="53"/>
      <c r="E38" s="4"/>
      <c r="F38" s="4"/>
      <c r="G38" s="4"/>
      <c r="H38" s="4"/>
      <c r="I38" s="4"/>
      <c r="J38" s="4"/>
      <c r="K38" s="4"/>
      <c r="L38" s="5"/>
      <c r="M38" s="5"/>
      <c r="N38" s="66"/>
      <c r="O38" s="383"/>
    </row>
    <row r="39" ht="15" customHeight="1">
      <c r="A39" s="4"/>
      <c r="B39" s="53" t="s">
        <v>171</v>
      </c>
      <c r="C39" s="53"/>
      <c r="D39" s="4"/>
      <c r="E39" s="4"/>
      <c r="F39" s="53"/>
      <c r="G39" s="53"/>
      <c r="H39" s="4"/>
      <c r="I39" s="4"/>
      <c r="J39" s="4"/>
      <c r="K39" s="4"/>
      <c r="L39" s="5"/>
      <c r="M39" s="4"/>
      <c r="N39" s="65"/>
      <c r="O39" s="383"/>
    </row>
    <row r="40" ht="15" customHeight="1">
      <c r="A40" s="4"/>
      <c r="B40" s="53"/>
      <c r="C40" s="53" t="s">
        <v>172</v>
      </c>
      <c r="D40" s="30" t="s">
        <v>173</v>
      </c>
      <c r="E40" s="53" t="s">
        <v>174</v>
      </c>
      <c r="F40" s="4"/>
      <c r="G40" s="4"/>
      <c r="H40" s="4"/>
      <c r="I40" s="4"/>
      <c r="J40" s="4"/>
      <c r="K40" s="4"/>
      <c r="L40" s="5"/>
      <c r="M40" s="4"/>
      <c r="N40" s="65"/>
      <c r="O40" s="383"/>
    </row>
    <row r="41" ht="15" customHeight="1">
      <c r="A41" s="4"/>
      <c r="B41" s="53"/>
      <c r="C41" s="53" t="s">
        <v>175</v>
      </c>
      <c r="D41" s="30" t="s">
        <v>173</v>
      </c>
      <c r="E41" s="53" t="s">
        <v>176</v>
      </c>
      <c r="F41" s="4"/>
      <c r="G41" s="4" t="s">
        <v>177</v>
      </c>
      <c r="H41" s="4"/>
      <c r="I41" s="4"/>
      <c r="J41" s="4"/>
      <c r="K41" s="4"/>
      <c r="L41" s="5"/>
      <c r="M41" s="4"/>
      <c r="N41" s="68" t="s">
        <v>178</v>
      </c>
    </row>
    <row r="42" ht="15" customHeight="1">
      <c r="A42" s="4"/>
      <c r="B42" s="53"/>
      <c r="C42" s="53" t="s">
        <v>179</v>
      </c>
      <c r="D42" s="30" t="s">
        <v>173</v>
      </c>
      <c r="E42" s="53" t="s">
        <v>180</v>
      </c>
      <c r="F42" s="4"/>
      <c r="G42" s="4"/>
      <c r="H42" s="4"/>
      <c r="I42" s="4"/>
      <c r="J42" s="4"/>
      <c r="K42" s="4"/>
      <c r="L42" s="4"/>
      <c r="M42" s="4"/>
      <c r="N42" s="68" t="s">
        <v>178</v>
      </c>
    </row>
    <row r="43" ht="15" customHeight="1">
      <c r="A43" s="4"/>
      <c r="B43" s="53"/>
      <c r="C43" s="4"/>
      <c r="D43" s="30" t="s">
        <v>173</v>
      </c>
      <c r="E43" s="54">
        <v>1</v>
      </c>
      <c r="F43" s="4" t="s">
        <v>181</v>
      </c>
      <c r="G43" s="4"/>
      <c r="H43" s="4"/>
      <c r="I43" s="4"/>
      <c r="J43" s="4"/>
      <c r="K43" s="4"/>
      <c r="L43" s="4"/>
      <c r="M43" s="4"/>
      <c r="N43" s="68"/>
    </row>
    <row r="44" ht="15" customHeight="1">
      <c r="A44" s="4"/>
      <c r="B44" s="53"/>
      <c r="C44" s="4"/>
      <c r="D44" s="30" t="s">
        <v>173</v>
      </c>
      <c r="E44" s="54">
        <v>1</v>
      </c>
      <c r="F44" s="4" t="s">
        <v>182</v>
      </c>
      <c r="G44" s="4"/>
      <c r="H44" s="4"/>
      <c r="I44" s="4"/>
      <c r="J44" s="4"/>
      <c r="K44" s="4"/>
      <c r="L44" s="4"/>
      <c r="M44" s="4"/>
      <c r="N44" s="68"/>
    </row>
    <row r="45" ht="15" customHeight="1">
      <c r="A45" s="4"/>
      <c r="B45" s="53"/>
      <c r="C45" s="4"/>
      <c r="D45" s="30" t="s">
        <v>173</v>
      </c>
      <c r="E45" s="4" t="s">
        <v>183</v>
      </c>
      <c r="F45" s="4"/>
      <c r="G45" s="4"/>
      <c r="H45" s="4"/>
      <c r="I45" s="4" t="s">
        <v>167</v>
      </c>
      <c r="J45" s="4"/>
      <c r="K45" s="4"/>
      <c r="L45" s="4"/>
      <c r="M45" s="4"/>
      <c r="N45" s="68"/>
    </row>
    <row r="46" ht="15" customHeight="1">
      <c r="A46" s="4"/>
      <c r="B46" s="53"/>
      <c r="C46" s="4" t="s">
        <v>184</v>
      </c>
      <c r="D46" s="30" t="s">
        <v>173</v>
      </c>
      <c r="E46" s="54">
        <v>1</v>
      </c>
      <c r="F46" s="4" t="s">
        <v>185</v>
      </c>
      <c r="G46" s="4"/>
      <c r="H46" s="4"/>
      <c r="I46" s="4"/>
      <c r="J46" s="4"/>
      <c r="K46" s="4"/>
      <c r="L46" s="4"/>
      <c r="M46" s="5"/>
      <c r="N46" s="68" t="s">
        <v>186</v>
      </c>
    </row>
    <row r="47" ht="15" customHeight="1">
      <c r="A47" s="4"/>
      <c r="B47" s="53"/>
      <c r="C47" s="4" t="s">
        <v>170</v>
      </c>
      <c r="D47" s="30" t="s">
        <v>173</v>
      </c>
      <c r="E47" s="54" t="s">
        <v>187</v>
      </c>
      <c r="F47" s="4"/>
      <c r="G47" s="4"/>
      <c r="H47" s="4"/>
      <c r="I47" s="4"/>
      <c r="J47" s="4"/>
      <c r="K47" s="4"/>
      <c r="L47" s="4"/>
      <c r="M47" s="5"/>
      <c r="N47" s="65"/>
      <c r="O47" s="383"/>
    </row>
    <row r="48" ht="15" customHeight="1">
      <c r="A48" s="4"/>
      <c r="B48" s="53"/>
      <c r="C48" s="4"/>
      <c r="D48" s="30" t="s">
        <v>173</v>
      </c>
      <c r="E48" s="54" t="s">
        <v>188</v>
      </c>
      <c r="F48" s="4"/>
      <c r="G48" s="4"/>
      <c r="H48" s="4"/>
      <c r="I48" s="4"/>
      <c r="J48" s="4"/>
      <c r="K48" s="4"/>
      <c r="L48" s="4"/>
      <c r="M48" s="5"/>
      <c r="N48" s="65"/>
      <c r="O48" s="383"/>
    </row>
    <row r="49" ht="15" customHeight="1">
      <c r="A49" s="4"/>
      <c r="B49" s="53"/>
      <c r="C49" s="4" t="s">
        <v>189</v>
      </c>
      <c r="D49" s="30" t="s">
        <v>173</v>
      </c>
      <c r="E49" s="4" t="s">
        <v>190</v>
      </c>
      <c r="F49" s="4"/>
      <c r="G49" s="4"/>
      <c r="H49" s="4"/>
      <c r="I49" s="4"/>
      <c r="J49" s="4"/>
      <c r="K49" s="4"/>
      <c r="L49" s="4"/>
      <c r="M49" s="5"/>
      <c r="N49" s="65"/>
      <c r="O49" s="383"/>
    </row>
    <row r="50" ht="15" customHeight="1">
      <c r="A50" s="4"/>
      <c r="B50" s="53"/>
      <c r="C50" s="4" t="s">
        <v>191</v>
      </c>
      <c r="D50" s="30" t="s">
        <v>173</v>
      </c>
      <c r="E50" s="4" t="s">
        <v>192</v>
      </c>
      <c r="F50" s="4"/>
      <c r="G50" s="4"/>
      <c r="H50" s="4"/>
      <c r="I50" s="4"/>
      <c r="J50" s="4"/>
      <c r="K50" s="4"/>
      <c r="L50" s="4"/>
      <c r="M50" s="5"/>
      <c r="N50" s="65"/>
      <c r="O50" s="383"/>
    </row>
    <row r="51" ht="15" customHeight="1">
      <c r="A51" s="4"/>
      <c r="B51" s="53"/>
      <c r="C51" s="4" t="s">
        <v>193</v>
      </c>
      <c r="D51" s="30" t="s">
        <v>173</v>
      </c>
      <c r="E51" s="4" t="s">
        <v>194</v>
      </c>
      <c r="F51" s="4"/>
      <c r="G51" s="4"/>
      <c r="H51" s="4"/>
      <c r="I51" s="4"/>
      <c r="J51" s="4"/>
      <c r="K51" s="4"/>
      <c r="L51" s="4"/>
      <c r="M51" s="5"/>
      <c r="N51" s="65"/>
      <c r="O51" s="383"/>
    </row>
    <row r="52" ht="15" customHeight="1">
      <c r="A52" s="4"/>
      <c r="B52" s="53"/>
      <c r="C52" s="4" t="s">
        <v>195</v>
      </c>
      <c r="D52" s="30" t="s">
        <v>173</v>
      </c>
      <c r="E52" s="4" t="s">
        <v>196</v>
      </c>
      <c r="F52" s="4"/>
      <c r="G52" s="4"/>
      <c r="H52" s="4"/>
      <c r="I52" s="4"/>
      <c r="J52" s="4"/>
      <c r="K52" s="4"/>
      <c r="L52" s="4"/>
      <c r="M52" s="5"/>
      <c r="N52" s="65"/>
      <c r="O52" s="383"/>
    </row>
    <row r="53" ht="15" customHeight="1">
      <c r="A53" s="4"/>
      <c r="B53" s="53"/>
      <c r="C53" s="4"/>
      <c r="D53" s="4"/>
      <c r="E53" s="30"/>
      <c r="F53" s="4"/>
      <c r="G53" s="4"/>
      <c r="H53" s="4"/>
      <c r="I53" s="4"/>
      <c r="J53" s="4"/>
      <c r="K53" s="4"/>
      <c r="L53" s="4"/>
      <c r="M53" s="5"/>
      <c r="N53" s="65"/>
      <c r="O53" s="385"/>
    </row>
    <row r="54" ht="15" customHeight="1">
      <c r="A54" s="4"/>
      <c r="B54" s="53"/>
      <c r="C54" s="4"/>
      <c r="D54" s="4"/>
      <c r="E54" s="30"/>
      <c r="F54" s="4"/>
      <c r="G54" s="54"/>
      <c r="H54" s="4"/>
      <c r="I54" s="4"/>
      <c r="J54" s="4"/>
      <c r="K54" s="4"/>
      <c r="L54" s="4"/>
      <c r="M54" s="5"/>
      <c r="N54" s="65"/>
      <c r="O54" s="383"/>
    </row>
    <row r="55" ht="15" customHeight="1">
      <c r="A55" s="4"/>
      <c r="B55" s="53"/>
      <c r="C55" s="4"/>
      <c r="D55" s="4"/>
      <c r="E55" s="30"/>
      <c r="F55" s="4"/>
      <c r="G55" s="54"/>
      <c r="H55" s="4"/>
      <c r="I55" s="4"/>
      <c r="J55" s="4"/>
      <c r="K55" s="4"/>
      <c r="L55" s="4"/>
      <c r="M55" s="5"/>
      <c r="N55" s="65"/>
      <c r="O55" s="383"/>
    </row>
    <row r="56" ht="15" customHeight="1">
      <c r="A56" s="4"/>
      <c r="B56" s="53"/>
      <c r="C56" s="4"/>
      <c r="D56" s="4"/>
      <c r="E56" s="30"/>
      <c r="F56" s="4"/>
      <c r="G56" s="54"/>
      <c r="H56" s="4"/>
      <c r="I56" s="4"/>
      <c r="J56" s="4"/>
      <c r="K56" s="4"/>
      <c r="L56" s="4"/>
      <c r="M56" s="5"/>
      <c r="N56" s="65"/>
      <c r="O56" s="383"/>
    </row>
    <row r="57" ht="15" customHeight="1">
      <c r="A57" s="4"/>
      <c r="B57" s="53"/>
      <c r="C57" s="4"/>
      <c r="D57" s="4"/>
      <c r="E57" s="30"/>
      <c r="F57" s="4"/>
      <c r="G57" s="54"/>
      <c r="H57" s="4"/>
      <c r="I57" s="4"/>
      <c r="J57" s="4"/>
      <c r="K57" s="4"/>
      <c r="L57" s="4"/>
      <c r="M57" s="5"/>
      <c r="N57" s="65"/>
      <c r="O57" s="383"/>
    </row>
    <row r="58" ht="15" customHeight="1">
      <c r="A58" s="4"/>
      <c r="B58" s="53"/>
      <c r="C58" s="4"/>
      <c r="D58" s="4"/>
      <c r="E58" s="30"/>
      <c r="F58" s="4"/>
      <c r="G58" s="54"/>
      <c r="H58" s="4"/>
      <c r="I58" s="4"/>
      <c r="J58" s="4"/>
      <c r="K58" s="4"/>
      <c r="L58" s="4"/>
      <c r="M58" s="5"/>
      <c r="N58" s="65"/>
      <c r="O58" s="383"/>
    </row>
    <row r="59" ht="15" customHeight="1">
      <c r="A59" s="4"/>
      <c r="B59" s="53"/>
      <c r="C59" s="4"/>
      <c r="D59" s="4"/>
      <c r="E59" s="30"/>
      <c r="F59" s="4"/>
      <c r="G59" s="54"/>
      <c r="H59" s="4"/>
      <c r="I59" s="4"/>
      <c r="J59" s="4"/>
      <c r="K59" s="4"/>
      <c r="L59" s="4"/>
      <c r="M59" s="5"/>
      <c r="N59" s="65"/>
      <c r="O59" s="383"/>
    </row>
    <row r="60" ht="15" customHeight="1">
      <c r="A60" s="4"/>
      <c r="B60" s="53"/>
      <c r="C60" s="4"/>
      <c r="D60" s="4"/>
      <c r="E60" s="30"/>
      <c r="F60" s="4"/>
      <c r="G60" s="54"/>
      <c r="H60" s="4"/>
      <c r="I60" s="4"/>
      <c r="J60" s="4"/>
      <c r="K60" s="4"/>
      <c r="L60" s="4"/>
      <c r="M60" s="5"/>
      <c r="N60" s="65"/>
      <c r="O60" s="383"/>
    </row>
    <row r="61" ht="15" customHeight="1">
      <c r="A61" s="4"/>
      <c r="B61" s="53"/>
      <c r="C61" s="4"/>
      <c r="D61" s="4"/>
      <c r="E61" s="30"/>
      <c r="F61" s="4"/>
      <c r="G61" s="54"/>
      <c r="H61" s="4"/>
      <c r="I61" s="4"/>
      <c r="J61" s="4"/>
      <c r="K61" s="4"/>
      <c r="L61" s="4"/>
      <c r="M61" s="5"/>
      <c r="N61" s="65"/>
      <c r="O61" s="383"/>
    </row>
    <row r="62" ht="15" customHeight="1">
      <c r="A62" s="4"/>
      <c r="B62" s="53"/>
      <c r="C62" s="4"/>
      <c r="D62" s="4"/>
      <c r="E62" s="30"/>
      <c r="F62" s="4"/>
      <c r="G62" s="54"/>
      <c r="H62" s="4"/>
      <c r="I62" s="4"/>
      <c r="J62" s="4"/>
      <c r="K62" s="4"/>
      <c r="L62" s="4"/>
      <c r="M62" s="5"/>
      <c r="N62" s="65"/>
      <c r="O62" s="383"/>
    </row>
    <row r="63" ht="15" customHeight="1">
      <c r="A63" s="4"/>
      <c r="B63" s="53"/>
      <c r="C63" s="4"/>
      <c r="D63" s="4"/>
      <c r="E63" s="30"/>
      <c r="F63" s="4"/>
      <c r="G63" s="54"/>
      <c r="H63" s="4"/>
      <c r="I63" s="4"/>
      <c r="J63" s="4"/>
      <c r="K63" s="4"/>
      <c r="L63" s="4"/>
      <c r="M63" s="5"/>
      <c r="N63" s="65"/>
      <c r="O63" s="383"/>
    </row>
    <row r="64" ht="15" customHeight="1">
      <c r="A64" s="4"/>
      <c r="B64" s="111" t="s">
        <v>197</v>
      </c>
      <c r="C64" s="55" t="s">
        <v>198</v>
      </c>
      <c r="D64" s="30"/>
      <c r="E64" s="4"/>
      <c r="F64" s="54"/>
      <c r="G64" s="4"/>
      <c r="H64" s="4"/>
      <c r="I64" s="4"/>
      <c r="J64" s="4"/>
      <c r="K64" s="4"/>
      <c r="L64" s="4"/>
      <c r="M64" s="5"/>
      <c r="N64" s="65"/>
      <c r="O64" s="383"/>
    </row>
    <row r="65" ht="15" customHeight="1">
      <c r="A65" s="4"/>
      <c r="B65" s="53"/>
      <c r="C65" s="4"/>
      <c r="D65" s="4" t="s">
        <v>199</v>
      </c>
      <c r="E65" s="4"/>
      <c r="F65" s="54"/>
      <c r="G65" s="4"/>
      <c r="H65" s="4"/>
      <c r="I65" s="4"/>
      <c r="J65" s="4"/>
      <c r="K65" s="4"/>
      <c r="L65" s="4"/>
      <c r="M65" s="5"/>
      <c r="N65" s="65"/>
      <c r="O65" s="383"/>
    </row>
    <row r="66" ht="15" customHeight="1">
      <c r="A66" s="4"/>
      <c r="B66" s="53"/>
      <c r="C66" s="4"/>
      <c r="D66" s="30" t="s">
        <v>200</v>
      </c>
      <c r="E66" s="4"/>
      <c r="F66" s="54"/>
      <c r="G66" s="4"/>
      <c r="H66" s="4"/>
      <c r="I66" s="4"/>
      <c r="J66" s="4"/>
      <c r="K66" s="4"/>
      <c r="L66" s="4"/>
      <c r="M66" s="5"/>
      <c r="N66" s="65"/>
      <c r="O66" s="383"/>
    </row>
    <row r="67" ht="15" customHeight="1">
      <c r="A67" s="4"/>
      <c r="B67" s="53"/>
      <c r="C67" s="4"/>
      <c r="D67" s="56" t="s">
        <v>201</v>
      </c>
      <c r="E67" s="4"/>
      <c r="F67" s="54"/>
      <c r="G67" s="4"/>
      <c r="H67" s="4"/>
      <c r="I67" s="4"/>
      <c r="J67" s="4"/>
      <c r="K67" s="4"/>
      <c r="L67" s="4"/>
      <c r="M67" s="5"/>
      <c r="N67" s="65"/>
      <c r="O67" s="383"/>
    </row>
    <row r="68" ht="15" customHeight="1">
      <c r="A68" s="4"/>
      <c r="B68" s="53"/>
      <c r="C68" s="4"/>
      <c r="D68" s="4" t="s">
        <v>202</v>
      </c>
      <c r="E68" s="4"/>
      <c r="F68" s="54"/>
      <c r="G68" s="4"/>
      <c r="H68" s="4"/>
      <c r="I68" s="4"/>
      <c r="J68" s="4"/>
      <c r="K68" s="4"/>
      <c r="L68" s="4"/>
      <c r="M68" s="5"/>
      <c r="N68" s="65"/>
      <c r="O68" s="383"/>
    </row>
    <row r="69" ht="15" customHeight="1">
      <c r="A69" s="4"/>
      <c r="B69" s="111" t="s">
        <v>197</v>
      </c>
      <c r="C69" s="55" t="s">
        <v>203</v>
      </c>
      <c r="D69" s="30"/>
      <c r="E69" s="4"/>
      <c r="F69" s="54"/>
      <c r="G69" s="4"/>
      <c r="H69" s="4"/>
      <c r="I69" s="4"/>
      <c r="J69" s="4"/>
      <c r="K69" s="4"/>
      <c r="L69" s="4"/>
      <c r="M69" s="5"/>
      <c r="N69" s="65"/>
      <c r="O69" s="383"/>
    </row>
    <row r="70" ht="15" customHeight="1">
      <c r="A70" s="4"/>
      <c r="B70" s="53"/>
      <c r="C70" s="4"/>
      <c r="D70" s="4" t="s">
        <v>204</v>
      </c>
      <c r="E70" s="4"/>
      <c r="F70" s="54"/>
      <c r="G70" s="4"/>
      <c r="H70" s="4"/>
      <c r="I70" s="4"/>
      <c r="J70" s="4"/>
      <c r="K70" s="4"/>
      <c r="L70" s="4"/>
      <c r="M70" s="5"/>
      <c r="N70" s="65"/>
      <c r="O70" s="383"/>
    </row>
    <row r="71" ht="15" customHeight="1">
      <c r="A71" s="4"/>
      <c r="B71" s="53"/>
      <c r="C71" s="4"/>
      <c r="D71" s="30" t="s">
        <v>205</v>
      </c>
      <c r="E71" s="4"/>
      <c r="F71" s="54"/>
      <c r="G71" s="4"/>
      <c r="H71" s="4"/>
      <c r="I71" s="4"/>
      <c r="J71" s="4"/>
      <c r="K71" s="4"/>
      <c r="L71" s="4"/>
      <c r="M71" s="5"/>
      <c r="N71" s="65"/>
      <c r="O71" s="383"/>
    </row>
    <row r="72" ht="15" customHeight="1">
      <c r="A72" s="4"/>
      <c r="B72" s="53"/>
      <c r="C72" s="4"/>
      <c r="D72" s="4" t="s">
        <v>206</v>
      </c>
      <c r="E72" s="4"/>
      <c r="F72" s="54"/>
      <c r="G72" s="4"/>
      <c r="H72" s="4"/>
      <c r="I72" s="4"/>
      <c r="J72" s="4"/>
      <c r="K72" s="4"/>
      <c r="L72" s="4"/>
      <c r="M72" s="5"/>
      <c r="N72" s="65"/>
      <c r="O72" s="383"/>
    </row>
    <row r="73" ht="15" customHeight="1">
      <c r="A73" s="4"/>
      <c r="B73" s="53"/>
      <c r="C73" s="4"/>
      <c r="D73" s="30" t="s">
        <v>207</v>
      </c>
      <c r="E73" s="4"/>
      <c r="F73" s="54"/>
      <c r="G73" s="4"/>
      <c r="H73" s="4"/>
      <c r="I73" s="4"/>
      <c r="J73" s="4"/>
      <c r="K73" s="4"/>
      <c r="L73" s="4"/>
      <c r="M73" s="5"/>
      <c r="N73" s="65"/>
      <c r="O73" s="383"/>
    </row>
    <row r="74" ht="15" customHeight="1">
      <c r="A74" s="4"/>
      <c r="B74" s="111" t="s">
        <v>197</v>
      </c>
      <c r="C74" s="55" t="s">
        <v>208</v>
      </c>
      <c r="D74" s="30"/>
      <c r="E74" s="4"/>
      <c r="F74" s="54"/>
      <c r="G74" s="4"/>
      <c r="H74" s="4"/>
      <c r="I74" s="4"/>
      <c r="J74" s="4"/>
      <c r="K74" s="4"/>
      <c r="L74" s="4"/>
      <c r="M74" s="5"/>
      <c r="N74" s="65"/>
      <c r="O74" s="383"/>
    </row>
    <row r="75" ht="15" customHeight="1">
      <c r="A75" s="4"/>
      <c r="B75" s="53"/>
      <c r="C75" s="4"/>
      <c r="D75" s="4" t="s">
        <v>209</v>
      </c>
      <c r="E75" s="4"/>
      <c r="F75" s="54"/>
      <c r="G75" s="4"/>
      <c r="H75" s="4"/>
      <c r="I75" s="4"/>
      <c r="J75" s="4"/>
      <c r="K75" s="4"/>
      <c r="L75" s="4"/>
      <c r="M75" s="5"/>
      <c r="N75" s="65"/>
      <c r="O75" s="383"/>
    </row>
    <row r="76" ht="15" customHeight="1">
      <c r="A76" s="4"/>
      <c r="B76" s="53"/>
      <c r="C76" s="4"/>
      <c r="D76" s="30" t="s">
        <v>210</v>
      </c>
      <c r="E76" s="4"/>
      <c r="F76" s="54"/>
      <c r="G76" s="4"/>
      <c r="H76" s="4"/>
      <c r="I76" s="4"/>
      <c r="J76" s="4"/>
      <c r="K76" s="4"/>
      <c r="L76" s="4"/>
      <c r="M76" s="5"/>
      <c r="N76" s="65"/>
      <c r="O76" s="383"/>
    </row>
    <row r="77" ht="15" customHeight="1">
      <c r="A77" s="4"/>
      <c r="B77" s="53"/>
      <c r="C77" s="4"/>
      <c r="D77" s="4" t="s">
        <v>211</v>
      </c>
      <c r="E77" s="57">
        <f>INPUT!$B$9</f>
        <v>0</v>
      </c>
      <c r="F77" s="4" t="s">
        <v>212</v>
      </c>
      <c r="G77" s="4"/>
      <c r="H77" s="57"/>
      <c r="I77" s="4"/>
      <c r="J77" s="4"/>
      <c r="K77" s="4"/>
      <c r="L77" s="4"/>
      <c r="M77" s="5"/>
      <c r="N77" s="65"/>
      <c r="O77" s="383"/>
    </row>
    <row r="78" ht="15" customHeight="1">
      <c r="A78" s="4"/>
      <c r="B78" s="111" t="s">
        <v>197</v>
      </c>
      <c r="C78" s="55" t="s">
        <v>213</v>
      </c>
      <c r="D78" s="30"/>
      <c r="E78" s="4"/>
      <c r="F78" s="54"/>
      <c r="G78" s="4"/>
      <c r="H78" s="4"/>
      <c r="I78" s="4"/>
      <c r="J78" s="4"/>
      <c r="K78" s="4"/>
      <c r="L78" s="4"/>
      <c r="M78" s="5"/>
      <c r="N78" s="65"/>
      <c r="O78" s="383"/>
    </row>
    <row r="79" ht="15" customHeight="1">
      <c r="A79" s="4"/>
      <c r="B79" s="53"/>
      <c r="C79" s="4"/>
      <c r="D79" s="4" t="s">
        <v>214</v>
      </c>
      <c r="E79" s="4"/>
      <c r="F79" s="54"/>
      <c r="G79" s="4"/>
      <c r="H79" s="4"/>
      <c r="I79" s="4"/>
      <c r="J79" s="4"/>
      <c r="K79" s="4"/>
      <c r="L79" s="4"/>
      <c r="M79" s="5"/>
      <c r="N79" s="65"/>
      <c r="O79" s="383"/>
    </row>
    <row r="80" ht="15" customHeight="1">
      <c r="A80" s="4"/>
      <c r="B80" s="53"/>
      <c r="C80" s="4"/>
      <c r="D80" s="4" t="s">
        <v>215</v>
      </c>
      <c r="E80" s="4"/>
      <c r="F80" s="54"/>
      <c r="G80" s="4"/>
      <c r="H80" s="4"/>
      <c r="I80" s="4"/>
      <c r="J80" s="4"/>
      <c r="K80" s="4"/>
      <c r="L80" s="4"/>
      <c r="M80" s="5"/>
      <c r="N80" s="65"/>
      <c r="O80" s="383"/>
    </row>
    <row r="81" ht="15" customHeight="1">
      <c r="A81" s="4"/>
      <c r="B81" s="53"/>
      <c r="D81" s="505" t="s">
        <v>216</v>
      </c>
      <c r="E81" s="522" t="s">
        <v>173</v>
      </c>
      <c r="F81" s="50" t="s">
        <v>217</v>
      </c>
      <c r="G81" s="53"/>
      <c r="H81" s="4"/>
      <c r="I81" s="4"/>
      <c r="J81" s="4"/>
      <c r="K81" s="4"/>
      <c r="L81" s="4"/>
      <c r="M81" s="4"/>
      <c r="N81" s="4"/>
      <c r="O81" s="383"/>
    </row>
    <row r="82" ht="15" customHeight="1">
      <c r="A82" s="11"/>
      <c r="B82" s="4"/>
      <c r="D82" s="505"/>
      <c r="E82" s="522"/>
      <c r="F82" s="58" t="s">
        <v>218</v>
      </c>
      <c r="G82" s="4"/>
      <c r="H82" s="4"/>
      <c r="I82" s="4"/>
      <c r="J82" s="4"/>
      <c r="K82" s="4"/>
      <c r="L82" s="4"/>
      <c r="M82" s="4"/>
      <c r="N82" s="4"/>
      <c r="O82" s="383"/>
    </row>
    <row r="83" ht="15" customHeight="1">
      <c r="A83" s="4"/>
      <c r="B83" s="4"/>
      <c r="D83" s="505" t="s">
        <v>219</v>
      </c>
      <c r="E83" s="522" t="s">
        <v>173</v>
      </c>
      <c r="F83" s="506" t="s">
        <v>220</v>
      </c>
      <c r="G83" s="506"/>
      <c r="H83" s="506"/>
      <c r="I83" s="4"/>
      <c r="J83" s="4"/>
      <c r="K83" s="4"/>
      <c r="L83" s="4"/>
      <c r="M83" s="4"/>
      <c r="N83" s="4"/>
      <c r="O83" s="383"/>
    </row>
    <row r="84" ht="15" customHeight="1">
      <c r="A84" s="4"/>
      <c r="B84" s="4"/>
      <c r="D84" s="505"/>
      <c r="E84" s="522"/>
      <c r="F84" s="4" t="s">
        <v>221</v>
      </c>
      <c r="G84" s="4"/>
      <c r="H84" s="4"/>
      <c r="I84" s="4"/>
      <c r="J84" s="4"/>
      <c r="K84" s="4"/>
      <c r="L84" s="4"/>
      <c r="M84" s="4"/>
      <c r="N84" s="4"/>
      <c r="O84" s="383"/>
    </row>
    <row r="85" ht="15" customHeight="1">
      <c r="A85" s="4"/>
      <c r="B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383"/>
    </row>
    <row r="86" ht="15" customHeight="1">
      <c r="A86" s="4"/>
      <c r="B86" s="4"/>
      <c r="D86" s="4" t="s">
        <v>222</v>
      </c>
      <c r="E86" s="30" t="s">
        <v>173</v>
      </c>
      <c r="F86" s="4" t="s">
        <v>223</v>
      </c>
      <c r="G86" s="4"/>
      <c r="H86" s="4"/>
      <c r="I86" s="4"/>
      <c r="J86" s="4"/>
      <c r="K86" s="4"/>
      <c r="L86" s="4"/>
      <c r="M86" s="4"/>
      <c r="N86" s="4"/>
      <c r="O86" s="383"/>
    </row>
    <row r="87" ht="15" customHeight="1">
      <c r="A87" s="4"/>
      <c r="B87" s="4"/>
      <c r="D87" s="4" t="s">
        <v>224</v>
      </c>
      <c r="E87" s="30" t="s">
        <v>173</v>
      </c>
      <c r="F87" s="4" t="s">
        <v>225</v>
      </c>
      <c r="G87" s="4"/>
      <c r="H87" s="4"/>
      <c r="I87" s="4"/>
      <c r="J87" s="4"/>
      <c r="K87" s="4"/>
      <c r="L87" s="4"/>
      <c r="M87" s="4"/>
      <c r="N87" s="4"/>
      <c r="O87" s="383"/>
    </row>
    <row r="88" ht="15" customHeight="1">
      <c r="A88" s="4"/>
      <c r="B88" s="4"/>
      <c r="D88" s="4" t="s">
        <v>226</v>
      </c>
      <c r="E88" s="30" t="s">
        <v>173</v>
      </c>
      <c r="F88" s="4" t="s">
        <v>227</v>
      </c>
      <c r="G88" s="53"/>
      <c r="H88" s="4"/>
      <c r="I88" s="4"/>
      <c r="J88" s="4"/>
      <c r="K88" s="4"/>
      <c r="L88" s="4"/>
      <c r="M88" s="4"/>
      <c r="N88" s="4"/>
      <c r="O88" s="383"/>
    </row>
    <row r="89" ht="15" customHeight="1">
      <c r="A89" s="4"/>
      <c r="B89" s="4"/>
      <c r="D89" s="4"/>
      <c r="E89" s="4"/>
      <c r="F89" s="4" t="s">
        <v>228</v>
      </c>
      <c r="G89" s="4"/>
      <c r="H89" s="4"/>
      <c r="I89" s="4"/>
      <c r="J89" s="4"/>
      <c r="K89" s="4"/>
      <c r="L89" s="4"/>
      <c r="M89" s="4"/>
      <c r="N89" s="4"/>
      <c r="O89" s="386"/>
    </row>
    <row r="90" ht="15" customHeight="1">
      <c r="A90" s="4"/>
      <c r="B90" s="4"/>
      <c r="C90" s="4"/>
      <c r="D90" s="4"/>
      <c r="E90" s="30"/>
      <c r="F90" s="4"/>
      <c r="G90" s="4"/>
      <c r="H90" s="4"/>
      <c r="I90" s="4"/>
      <c r="J90" s="4"/>
      <c r="K90" s="4"/>
      <c r="L90" s="4"/>
      <c r="M90" s="4"/>
      <c r="N90" s="64"/>
      <c r="O90" s="296"/>
    </row>
    <row r="91" ht="15" customHeight="1">
      <c r="A91" s="59" t="s">
        <v>229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5"/>
      <c r="M91" s="4"/>
      <c r="N91" s="64"/>
      <c r="O91" s="296"/>
    </row>
    <row r="92" ht="15" customHeight="1">
      <c r="A92" s="72" t="s">
        <v>230</v>
      </c>
      <c r="B92" s="494" t="s">
        <v>231</v>
      </c>
      <c r="C92" s="498"/>
      <c r="D92" s="498"/>
      <c r="E92" s="498"/>
      <c r="F92" s="498"/>
      <c r="G92" s="498"/>
      <c r="H92" s="495"/>
      <c r="I92" s="494" t="s">
        <v>232</v>
      </c>
      <c r="J92" s="498"/>
      <c r="K92" s="495"/>
      <c r="L92" s="73" t="s">
        <v>193</v>
      </c>
      <c r="M92" s="73" t="s">
        <v>18</v>
      </c>
      <c r="N92" s="74" t="s">
        <v>195</v>
      </c>
      <c r="O92" s="296"/>
    </row>
    <row r="93" ht="15" customHeight="1">
      <c r="A93" s="75"/>
      <c r="B93" s="76" t="s">
        <v>172</v>
      </c>
      <c r="C93" s="76" t="s">
        <v>233</v>
      </c>
      <c r="D93" s="76" t="s">
        <v>234</v>
      </c>
      <c r="E93" s="76" t="s">
        <v>235</v>
      </c>
      <c r="F93" s="76" t="s">
        <v>236</v>
      </c>
      <c r="G93" s="76" t="s">
        <v>237</v>
      </c>
      <c r="H93" s="76" t="s">
        <v>238</v>
      </c>
      <c r="I93" s="76" t="s">
        <v>239</v>
      </c>
      <c r="J93" s="76" t="s">
        <v>240</v>
      </c>
      <c r="K93" s="76" t="s">
        <v>191</v>
      </c>
      <c r="L93" s="76"/>
      <c r="M93" s="76"/>
      <c r="N93" s="77"/>
      <c r="O93" s="296"/>
    </row>
    <row r="94" ht="15" customHeight="1">
      <c r="A94" s="176">
        <f>INPUT!D3</f>
        <v>101</v>
      </c>
      <c r="B94" s="177">
        <f>INPUT!AM3</f>
        <v>3175</v>
      </c>
      <c r="C94" s="449">
        <f>INPUT!H3*INPUT!I3*INPUT!J3+INPUT!K3*INPUT!L3+INPUT!N3*INPUT!O3*2/COS(ATAN(G94))+INPUT!AD3*INPUT!AE3*INPUT!AF3+INPUT!AG3*INPUT!AH3*INPUT!AI3</f>
        <v>116164.41464770856</v>
      </c>
      <c r="D94" s="177">
        <f>(INPUT!K3-2*INPUT!M3)*INPUT!Q3+INPUT!Q3*INPUT!Q3*G94</f>
        <v>0</v>
      </c>
      <c r="E94" s="450">
        <f>INPUT!R3*INPUT!AA3+2*INPUT!S3*INPUT!T3</f>
        <v>1580500</v>
      </c>
      <c r="F94" s="179">
        <f>(C94*7.85+(D94+E94)*2.5)/10^5/2</f>
        <v>24.315703274922562</v>
      </c>
      <c r="G94" s="178">
        <f>TAN(INPUT!P3)</f>
        <v>0.12565513657513097</v>
      </c>
      <c r="H94" s="179">
        <f>F94*G94*B94^2/12/10^6</f>
        <v>2.5666892684347467</v>
      </c>
      <c r="I94" s="179">
        <f>INPUT!N3/(MAX(INPUT!V3,INPUT!W3,INPUT!X3/2,INPUT!Y3/2)-INPUT!U3/2+G94*INPUT!N3)</f>
        <v>1.2716669438755954</v>
      </c>
      <c r="J94" s="179">
        <f>INPUT!R3*(MAX(INPUT!V3,INPUT!W3,INPUT!X3/2,INPUT!Y3/2)-INPUT!U3/2)/10^6*25</f>
        <v>13.4125</v>
      </c>
      <c r="K94" s="179">
        <f>0.5*J94/I94*B94*B94/12/10^6</f>
        <v>4.4300902142544727</v>
      </c>
      <c r="L94" s="179">
        <f>0.5*$E$77/I94*B94*B94/12/10^6</f>
        <v>0</v>
      </c>
      <c r="M94" s="180">
        <f>INPUT!G3</f>
        <v>0</v>
      </c>
      <c r="N94" s="181">
        <f>IF(M94&gt;0,(INPUT!BE3+INPUT!BF3+INPUT!BG3)*B94*B94/12/M94/INPUT!N3,0)</f>
        <v>0</v>
      </c>
      <c r="O94" s="296"/>
    </row>
    <row r="95">
      <c r="A95" s="176">
        <f>INPUT!D4</f>
        <v>101</v>
      </c>
      <c r="B95" s="177">
        <f>INPUT!AM4</f>
        <v>3175</v>
      </c>
      <c r="C95" s="449">
        <f>INPUT!H4*INPUT!I4*INPUT!J4+INPUT!K4*INPUT!L4+INPUT!N4*INPUT!O4*2/COS(ATAN(G95))+INPUT!AD4*INPUT!AE4*INPUT!AF4+INPUT!AG4*INPUT!AH4*INPUT!AI4</f>
        <v>116164.41464770856</v>
      </c>
      <c r="D95" s="177">
        <f>(INPUT!K4-2*INPUT!M4)*INPUT!Q4+INPUT!Q4*INPUT!Q4*G95</f>
        <v>0</v>
      </c>
      <c r="E95" s="450">
        <f>INPUT!R4*INPUT!AA4+2*INPUT!S4*INPUT!T4</f>
        <v>1580500</v>
      </c>
      <c r="F95" s="179">
        <f>(C95*7.85+(D95+E95)*2.5)/10^5/2</f>
        <v>24.315703274922562</v>
      </c>
      <c r="G95" s="178">
        <f>TAN(INPUT!P4)</f>
        <v>0.12565513657513097</v>
      </c>
      <c r="H95" s="179">
        <f>F95*G95*B95^2/12/10^6</f>
        <v>2.5666892684347467</v>
      </c>
      <c r="I95" s="179">
        <f>INPUT!N4/(MAX(INPUT!V4,INPUT!W4,INPUT!X4/2,INPUT!Y4/2)-INPUT!U4/2+G95*INPUT!N4)</f>
        <v>1.2716669438755954</v>
      </c>
      <c r="J95" s="179">
        <f>INPUT!R4*(MAX(INPUT!V4,INPUT!W4,INPUT!X4/2,INPUT!Y4/2)-INPUT!U4/2)/10^6*25</f>
        <v>13.4125</v>
      </c>
      <c r="K95" s="179">
        <f>0.5*J95/I95*B95*B95/12/10^6</f>
        <v>4.4300902142544727</v>
      </c>
      <c r="L95" s="179">
        <f>0.5*$E$77/I95*B95*B95/12/10^6</f>
        <v>0</v>
      </c>
      <c r="M95" s="180">
        <f>INPUT!G4</f>
        <v>0</v>
      </c>
      <c r="N95" s="181">
        <f>IF(M95&gt;0,(INPUT!BE4+INPUT!BF4+INPUT!BG4)*B95*B95/12/M95/INPUT!N4,0)</f>
        <v>0</v>
      </c>
      <c r="O95" s="296"/>
    </row>
    <row r="96">
      <c r="A96" s="176">
        <f>INPUT!D5</f>
        <v>101</v>
      </c>
      <c r="B96" s="177">
        <f>INPUT!AM5</f>
        <v>3175</v>
      </c>
      <c r="C96" s="449">
        <f>INPUT!H5*INPUT!I5*INPUT!J5+INPUT!K5*INPUT!L5+INPUT!N5*INPUT!O5*2/COS(ATAN(G96))+INPUT!AD5*INPUT!AE5*INPUT!AF5+INPUT!AG5*INPUT!AH5*INPUT!AI5</f>
        <v>116164.41464770856</v>
      </c>
      <c r="D96" s="177">
        <f>(INPUT!K5-2*INPUT!M5)*INPUT!Q5+INPUT!Q5*INPUT!Q5*G96</f>
        <v>0</v>
      </c>
      <c r="E96" s="450">
        <f>INPUT!R5*INPUT!AA5+2*INPUT!S5*INPUT!T5</f>
        <v>1580500</v>
      </c>
      <c r="F96" s="179">
        <f>(C96*7.85+(D96+E96)*2.5)/10^5/2</f>
        <v>24.315703274922562</v>
      </c>
      <c r="G96" s="178">
        <f>TAN(INPUT!P5)</f>
        <v>0.12565513657513097</v>
      </c>
      <c r="H96" s="179">
        <f>F96*G96*B96^2/12/10^6</f>
        <v>2.5666892684347467</v>
      </c>
      <c r="I96" s="179">
        <f>INPUT!N5/(MAX(INPUT!V5,INPUT!W5,INPUT!X5/2,INPUT!Y5/2)-INPUT!U5/2+G96*INPUT!N5)</f>
        <v>1.2716669438755954</v>
      </c>
      <c r="J96" s="179">
        <f>INPUT!R5*(MAX(INPUT!V5,INPUT!W5,INPUT!X5/2,INPUT!Y5/2)-INPUT!U5/2)/10^6*25</f>
        <v>13.4125</v>
      </c>
      <c r="K96" s="179">
        <f>0.5*J96/I96*B96*B96/12/10^6</f>
        <v>4.4300902142544727</v>
      </c>
      <c r="L96" s="179">
        <f>0.5*$E$77/I96*B96*B96/12/10^6</f>
        <v>0</v>
      </c>
      <c r="M96" s="180">
        <f>INPUT!G5</f>
        <v>0</v>
      </c>
      <c r="N96" s="181">
        <f>IF(M96&gt;0,(INPUT!BE5+INPUT!BF5+INPUT!BG5)*B96*B96/12/M96/INPUT!N5,0)</f>
        <v>0</v>
      </c>
      <c r="O96" s="296"/>
    </row>
    <row r="97">
      <c r="A97" s="176">
        <f>INPUT!D6</f>
        <v>101</v>
      </c>
      <c r="B97" s="177">
        <f>INPUT!AM6</f>
        <v>3175</v>
      </c>
      <c r="C97" s="449">
        <f>INPUT!H6*INPUT!I6*INPUT!J6+INPUT!K6*INPUT!L6+INPUT!N6*INPUT!O6*2/COS(ATAN(G97))+INPUT!AD6*INPUT!AE6*INPUT!AF6+INPUT!AG6*INPUT!AH6*INPUT!AI6</f>
        <v>116164.41464770856</v>
      </c>
      <c r="D97" s="177">
        <f>(INPUT!K6-2*INPUT!M6)*INPUT!Q6+INPUT!Q6*INPUT!Q6*G97</f>
        <v>0</v>
      </c>
      <c r="E97" s="450">
        <f>INPUT!R6*INPUT!AA6+2*INPUT!S6*INPUT!T6</f>
        <v>1580500</v>
      </c>
      <c r="F97" s="179">
        <f>(C97*7.85+(D97+E97)*2.5)/10^5/2</f>
        <v>24.315703274922562</v>
      </c>
      <c r="G97" s="178">
        <f>TAN(INPUT!P6)</f>
        <v>0.12565513657513097</v>
      </c>
      <c r="H97" s="179">
        <f>F97*G97*B97^2/12/10^6</f>
        <v>2.5666892684347467</v>
      </c>
      <c r="I97" s="179">
        <f>INPUT!N6/(MAX(INPUT!V6,INPUT!W6,INPUT!X6/2,INPUT!Y6/2)-INPUT!U6/2+G97*INPUT!N6)</f>
        <v>1.2716669438755954</v>
      </c>
      <c r="J97" s="179">
        <f>INPUT!R6*(MAX(INPUT!V6,INPUT!W6,INPUT!X6/2,INPUT!Y6/2)-INPUT!U6/2)/10^6*25</f>
        <v>13.4125</v>
      </c>
      <c r="K97" s="179">
        <f>0.5*J97/I97*B97*B97/12/10^6</f>
        <v>4.4300902142544727</v>
      </c>
      <c r="L97" s="179">
        <f>0.5*$E$77/I97*B97*B97/12/10^6</f>
        <v>0</v>
      </c>
      <c r="M97" s="180">
        <f>INPUT!G6</f>
        <v>0</v>
      </c>
      <c r="N97" s="181">
        <f>IF(M97&gt;0,(INPUT!BE6+INPUT!BF6+INPUT!BG6)*B97*B97/12/M97/INPUT!N6,0)</f>
        <v>0</v>
      </c>
      <c r="O97" s="296"/>
    </row>
    <row r="98">
      <c r="A98" s="176">
        <f>INPUT!D7</f>
        <v>101</v>
      </c>
      <c r="B98" s="177">
        <f>INPUT!AM7</f>
        <v>3175</v>
      </c>
      <c r="C98" s="449">
        <f>INPUT!H7*INPUT!I7*INPUT!J7+INPUT!K7*INPUT!L7+INPUT!N7*INPUT!O7*2/COS(ATAN(G98))+INPUT!AD7*INPUT!AE7*INPUT!AF7+INPUT!AG7*INPUT!AH7*INPUT!AI7</f>
        <v>116164.41464770856</v>
      </c>
      <c r="D98" s="177">
        <f>(INPUT!K7-2*INPUT!M7)*INPUT!Q7+INPUT!Q7*INPUT!Q7*G98</f>
        <v>0</v>
      </c>
      <c r="E98" s="450">
        <f>INPUT!R7*INPUT!AA7+2*INPUT!S7*INPUT!T7</f>
        <v>1580500</v>
      </c>
      <c r="F98" s="179">
        <f>(C98*7.85+(D98+E98)*2.5)/10^5/2</f>
        <v>24.315703274922562</v>
      </c>
      <c r="G98" s="178">
        <f>TAN(INPUT!P7)</f>
        <v>0.12565513657513097</v>
      </c>
      <c r="H98" s="179">
        <f>F98*G98*B98^2/12/10^6</f>
        <v>2.5666892684347467</v>
      </c>
      <c r="I98" s="179">
        <f>INPUT!N7/(MAX(INPUT!V7,INPUT!W7,INPUT!X7/2,INPUT!Y7/2)-INPUT!U7/2+G98*INPUT!N7)</f>
        <v>1.2716669438755954</v>
      </c>
      <c r="J98" s="179">
        <f>INPUT!R7*(MAX(INPUT!V7,INPUT!W7,INPUT!X7/2,INPUT!Y7/2)-INPUT!U7/2)/10^6*25</f>
        <v>13.4125</v>
      </c>
      <c r="K98" s="179">
        <f>0.5*J98/I98*B98*B98/12/10^6</f>
        <v>4.4300902142544727</v>
      </c>
      <c r="L98" s="179">
        <f>0.5*$E$77/I98*B98*B98/12/10^6</f>
        <v>0</v>
      </c>
      <c r="M98" s="180">
        <f>INPUT!G7</f>
        <v>0</v>
      </c>
      <c r="N98" s="181">
        <f>IF(M98&gt;0,(INPUT!BE7+INPUT!BF7+INPUT!BG7)*B98*B98/12/M98/INPUT!N7,0)</f>
        <v>0</v>
      </c>
      <c r="O98" s="296"/>
    </row>
    <row r="99">
      <c r="A99" s="176">
        <f>INPUT!D8</f>
        <v>101</v>
      </c>
      <c r="B99" s="177">
        <f>INPUT!AM8</f>
        <v>3175</v>
      </c>
      <c r="C99" s="449">
        <f>INPUT!H8*INPUT!I8*INPUT!J8+INPUT!K8*INPUT!L8+INPUT!N8*INPUT!O8*2/COS(ATAN(G99))+INPUT!AD8*INPUT!AE8*INPUT!AF8+INPUT!AG8*INPUT!AH8*INPUT!AI8</f>
        <v>116164.41464770856</v>
      </c>
      <c r="D99" s="177">
        <f>(INPUT!K8-2*INPUT!M8)*INPUT!Q8+INPUT!Q8*INPUT!Q8*G99</f>
        <v>0</v>
      </c>
      <c r="E99" s="450">
        <f>INPUT!R8*INPUT!AA8+2*INPUT!S8*INPUT!T8</f>
        <v>1580500</v>
      </c>
      <c r="F99" s="179">
        <f>(C99*7.85+(D99+E99)*2.5)/10^5/2</f>
        <v>24.315703274922562</v>
      </c>
      <c r="G99" s="178">
        <f>TAN(INPUT!P8)</f>
        <v>0.12565513657513097</v>
      </c>
      <c r="H99" s="179">
        <f>F99*G99*B99^2/12/10^6</f>
        <v>2.5666892684347467</v>
      </c>
      <c r="I99" s="179">
        <f>INPUT!N8/(MAX(INPUT!V8,INPUT!W8,INPUT!X8/2,INPUT!Y8/2)-INPUT!U8/2+G99*INPUT!N8)</f>
        <v>1.2716669438755954</v>
      </c>
      <c r="J99" s="179">
        <f>INPUT!R8*(MAX(INPUT!V8,INPUT!W8,INPUT!X8/2,INPUT!Y8/2)-INPUT!U8/2)/10^6*25</f>
        <v>13.4125</v>
      </c>
      <c r="K99" s="179">
        <f>0.5*J99/I99*B99*B99/12/10^6</f>
        <v>4.4300902142544727</v>
      </c>
      <c r="L99" s="179">
        <f>0.5*$E$77/I99*B99*B99/12/10^6</f>
        <v>0</v>
      </c>
      <c r="M99" s="180">
        <f>INPUT!G8</f>
        <v>0</v>
      </c>
      <c r="N99" s="181">
        <f>IF(M99&gt;0,(INPUT!BE8+INPUT!BF8+INPUT!BG8)*B99*B99/12/M99/INPUT!N8,0)</f>
        <v>0</v>
      </c>
      <c r="O99" s="296"/>
    </row>
    <row r="100">
      <c r="A100" s="176">
        <f>INPUT!D9</f>
        <v>101</v>
      </c>
      <c r="B100" s="177">
        <f>INPUT!AM9</f>
        <v>3175</v>
      </c>
      <c r="C100" s="449">
        <f>INPUT!H9*INPUT!I9*INPUT!J9+INPUT!K9*INPUT!L9+INPUT!N9*INPUT!O9*2/COS(ATAN(G100))+INPUT!AD9*INPUT!AE9*INPUT!AF9+INPUT!AG9*INPUT!AH9*INPUT!AI9</f>
        <v>116164.41464770856</v>
      </c>
      <c r="D100" s="177">
        <f>(INPUT!K9-2*INPUT!M9)*INPUT!Q9+INPUT!Q9*INPUT!Q9*G100</f>
        <v>0</v>
      </c>
      <c r="E100" s="450">
        <f>INPUT!R9*INPUT!AA9+2*INPUT!S9*INPUT!T9</f>
        <v>1580500</v>
      </c>
      <c r="F100" s="179">
        <f>(C100*7.85+(D100+E100)*2.5)/10^5/2</f>
        <v>24.315703274922562</v>
      </c>
      <c r="G100" s="178">
        <f>TAN(INPUT!P9)</f>
        <v>0.12565513657513097</v>
      </c>
      <c r="H100" s="179">
        <f>F100*G100*B100^2/12/10^6</f>
        <v>2.5666892684347467</v>
      </c>
      <c r="I100" s="179">
        <f>INPUT!N9/(MAX(INPUT!V9,INPUT!W9,INPUT!X9/2,INPUT!Y9/2)-INPUT!U9/2+G100*INPUT!N9)</f>
        <v>1.2716669438755954</v>
      </c>
      <c r="J100" s="179">
        <f>INPUT!R9*(MAX(INPUT!V9,INPUT!W9,INPUT!X9/2,INPUT!Y9/2)-INPUT!U9/2)/10^6*25</f>
        <v>13.4125</v>
      </c>
      <c r="K100" s="179">
        <f>0.5*J100/I100*B100*B100/12/10^6</f>
        <v>4.4300902142544727</v>
      </c>
      <c r="L100" s="179">
        <f>0.5*$E$77/I100*B100*B100/12/10^6</f>
        <v>0</v>
      </c>
      <c r="M100" s="180">
        <f>INPUT!G9</f>
        <v>0</v>
      </c>
      <c r="N100" s="181">
        <f>IF(M100&gt;0,(INPUT!BE9+INPUT!BF9+INPUT!BG9)*B100*B100/12/M100/INPUT!N9,0)</f>
        <v>0</v>
      </c>
      <c r="O100" s="296"/>
    </row>
    <row r="101">
      <c r="A101" s="176">
        <f>INPUT!D10</f>
        <v>101</v>
      </c>
      <c r="B101" s="177">
        <f>INPUT!AM10</f>
        <v>3175</v>
      </c>
      <c r="C101" s="449">
        <f>INPUT!H10*INPUT!I10*INPUT!J10+INPUT!K10*INPUT!L10+INPUT!N10*INPUT!O10*2/COS(ATAN(G101))+INPUT!AD10*INPUT!AE10*INPUT!AF10+INPUT!AG10*INPUT!AH10*INPUT!AI10</f>
        <v>116164.41464770856</v>
      </c>
      <c r="D101" s="177">
        <f>(INPUT!K10-2*INPUT!M10)*INPUT!Q10+INPUT!Q10*INPUT!Q10*G101</f>
        <v>0</v>
      </c>
      <c r="E101" s="450">
        <f>INPUT!R10*INPUT!AA10+2*INPUT!S10*INPUT!T10</f>
        <v>1580500</v>
      </c>
      <c r="F101" s="179">
        <f>(C101*7.85+(D101+E101)*2.5)/10^5/2</f>
        <v>24.315703274922562</v>
      </c>
      <c r="G101" s="178">
        <f>TAN(INPUT!P10)</f>
        <v>0.12565513657513097</v>
      </c>
      <c r="H101" s="179">
        <f>F101*G101*B101^2/12/10^6</f>
        <v>2.5666892684347467</v>
      </c>
      <c r="I101" s="179">
        <f>INPUT!N10/(MAX(INPUT!V10,INPUT!W10,INPUT!X10/2,INPUT!Y10/2)-INPUT!U10/2+G101*INPUT!N10)</f>
        <v>1.2716669438755954</v>
      </c>
      <c r="J101" s="179">
        <f>INPUT!R10*(MAX(INPUT!V10,INPUT!W10,INPUT!X10/2,INPUT!Y10/2)-INPUT!U10/2)/10^6*25</f>
        <v>13.4125</v>
      </c>
      <c r="K101" s="179">
        <f>0.5*J101/I101*B101*B101/12/10^6</f>
        <v>4.4300902142544727</v>
      </c>
      <c r="L101" s="179">
        <f>0.5*$E$77/I101*B101*B101/12/10^6</f>
        <v>0</v>
      </c>
      <c r="M101" s="180">
        <f>INPUT!G10</f>
        <v>0</v>
      </c>
      <c r="N101" s="181">
        <f>IF(M101&gt;0,(INPUT!BE10+INPUT!BF10+INPUT!BG10)*B101*B101/12/M101/INPUT!N10,0)</f>
        <v>0</v>
      </c>
      <c r="O101" s="296"/>
    </row>
    <row r="102">
      <c r="A102" s="176">
        <f>INPUT!D11</f>
        <v>101</v>
      </c>
      <c r="B102" s="177">
        <f>INPUT!AM11</f>
        <v>3175</v>
      </c>
      <c r="C102" s="449">
        <f>INPUT!H11*INPUT!I11*INPUT!J11+INPUT!K11*INPUT!L11+INPUT!N11*INPUT!O11*2/COS(ATAN(G102))+INPUT!AD11*INPUT!AE11*INPUT!AF11+INPUT!AG11*INPUT!AH11*INPUT!AI11</f>
        <v>116164.41464770856</v>
      </c>
      <c r="D102" s="177">
        <f>(INPUT!K11-2*INPUT!M11)*INPUT!Q11+INPUT!Q11*INPUT!Q11*G102</f>
        <v>0</v>
      </c>
      <c r="E102" s="450">
        <f>INPUT!R11*INPUT!AA11+2*INPUT!S11*INPUT!T11</f>
        <v>1580500</v>
      </c>
      <c r="F102" s="179">
        <f>(C102*7.85+(D102+E102)*2.5)/10^5/2</f>
        <v>24.315703274922562</v>
      </c>
      <c r="G102" s="178">
        <f>TAN(INPUT!P11)</f>
        <v>0.12565513657513097</v>
      </c>
      <c r="H102" s="179">
        <f>F102*G102*B102^2/12/10^6</f>
        <v>2.5666892684347467</v>
      </c>
      <c r="I102" s="179">
        <f>INPUT!N11/(MAX(INPUT!V11,INPUT!W11,INPUT!X11/2,INPUT!Y11/2)-INPUT!U11/2+G102*INPUT!N11)</f>
        <v>1.2716669438755954</v>
      </c>
      <c r="J102" s="179">
        <f>INPUT!R11*(MAX(INPUT!V11,INPUT!W11,INPUT!X11/2,INPUT!Y11/2)-INPUT!U11/2)/10^6*25</f>
        <v>13.4125</v>
      </c>
      <c r="K102" s="179">
        <f>0.5*J102/I102*B102*B102/12/10^6</f>
        <v>4.4300902142544727</v>
      </c>
      <c r="L102" s="179">
        <f>0.5*$E$77/I102*B102*B102/12/10^6</f>
        <v>0</v>
      </c>
      <c r="M102" s="180">
        <f>INPUT!G11</f>
        <v>0</v>
      </c>
      <c r="N102" s="181">
        <f>IF(M102&gt;0,(INPUT!BE11+INPUT!BF11+INPUT!BG11)*B102*B102/12/M102/INPUT!N11,0)</f>
        <v>0</v>
      </c>
      <c r="O102" s="296"/>
    </row>
    <row r="103">
      <c r="A103" s="176">
        <f>INPUT!D12</f>
        <v>101</v>
      </c>
      <c r="B103" s="177">
        <f>INPUT!AM12</f>
        <v>3175</v>
      </c>
      <c r="C103" s="449">
        <f>INPUT!H12*INPUT!I12*INPUT!J12+INPUT!K12*INPUT!L12+INPUT!N12*INPUT!O12*2/COS(ATAN(G103))+INPUT!AD12*INPUT!AE12*INPUT!AF12+INPUT!AG12*INPUT!AH12*INPUT!AI12</f>
        <v>116164.41464770856</v>
      </c>
      <c r="D103" s="177">
        <f>(INPUT!K12-2*INPUT!M12)*INPUT!Q12+INPUT!Q12*INPUT!Q12*G103</f>
        <v>0</v>
      </c>
      <c r="E103" s="450">
        <f>INPUT!R12*INPUT!AA12+2*INPUT!S12*INPUT!T12</f>
        <v>1580500</v>
      </c>
      <c r="F103" s="179">
        <f>(C103*7.85+(D103+E103)*2.5)/10^5/2</f>
        <v>24.315703274922562</v>
      </c>
      <c r="G103" s="178">
        <f>TAN(INPUT!P12)</f>
        <v>0.12565513657513097</v>
      </c>
      <c r="H103" s="179">
        <f>F103*G103*B103^2/12/10^6</f>
        <v>2.5666892684347467</v>
      </c>
      <c r="I103" s="179">
        <f>INPUT!N12/(MAX(INPUT!V12,INPUT!W12,INPUT!X12/2,INPUT!Y12/2)-INPUT!U12/2+G103*INPUT!N12)</f>
        <v>1.2716669438755954</v>
      </c>
      <c r="J103" s="179">
        <f>INPUT!R12*(MAX(INPUT!V12,INPUT!W12,INPUT!X12/2,INPUT!Y12/2)-INPUT!U12/2)/10^6*25</f>
        <v>13.4125</v>
      </c>
      <c r="K103" s="179">
        <f>0.5*J103/I103*B103*B103/12/10^6</f>
        <v>4.4300902142544727</v>
      </c>
      <c r="L103" s="179">
        <f>0.5*$E$77/I103*B103*B103/12/10^6</f>
        <v>0</v>
      </c>
      <c r="M103" s="180">
        <f>INPUT!G12</f>
        <v>0</v>
      </c>
      <c r="N103" s="181">
        <f>IF(M103&gt;0,(INPUT!BE12+INPUT!BF12+INPUT!BG12)*B103*B103/12/M103/INPUT!N12,0)</f>
        <v>0</v>
      </c>
      <c r="O103" s="296"/>
    </row>
    <row r="104">
      <c r="A104" s="176">
        <f>INPUT!D13</f>
        <v>101</v>
      </c>
      <c r="B104" s="177">
        <f>INPUT!AM13</f>
        <v>3175</v>
      </c>
      <c r="C104" s="449">
        <f>INPUT!H13*INPUT!I13*INPUT!J13+INPUT!K13*INPUT!L13+INPUT!N13*INPUT!O13*2/COS(ATAN(G104))+INPUT!AD13*INPUT!AE13*INPUT!AF13+INPUT!AG13*INPUT!AH13*INPUT!AI13</f>
        <v>116164.41464770856</v>
      </c>
      <c r="D104" s="177">
        <f>(INPUT!K13-2*INPUT!M13)*INPUT!Q13+INPUT!Q13*INPUT!Q13*G104</f>
        <v>0</v>
      </c>
      <c r="E104" s="450">
        <f>INPUT!R13*INPUT!AA13+2*INPUT!S13*INPUT!T13</f>
        <v>1580500</v>
      </c>
      <c r="F104" s="179">
        <f>(C104*7.85+(D104+E104)*2.5)/10^5/2</f>
        <v>24.315703274922562</v>
      </c>
      <c r="G104" s="178">
        <f>TAN(INPUT!P13)</f>
        <v>0.12565513657513097</v>
      </c>
      <c r="H104" s="179">
        <f>F104*G104*B104^2/12/10^6</f>
        <v>2.5666892684347467</v>
      </c>
      <c r="I104" s="179">
        <f>INPUT!N13/(MAX(INPUT!V13,INPUT!W13,INPUT!X13/2,INPUT!Y13/2)-INPUT!U13/2+G104*INPUT!N13)</f>
        <v>1.2716669438755954</v>
      </c>
      <c r="J104" s="179">
        <f>INPUT!R13*(MAX(INPUT!V13,INPUT!W13,INPUT!X13/2,INPUT!Y13/2)-INPUT!U13/2)/10^6*25</f>
        <v>13.4125</v>
      </c>
      <c r="K104" s="179">
        <f>0.5*J104/I104*B104*B104/12/10^6</f>
        <v>4.4300902142544727</v>
      </c>
      <c r="L104" s="179">
        <f>0.5*$E$77/I104*B104*B104/12/10^6</f>
        <v>0</v>
      </c>
      <c r="M104" s="180">
        <f>INPUT!G13</f>
        <v>0</v>
      </c>
      <c r="N104" s="181">
        <f>IF(M104&gt;0,(INPUT!BE13+INPUT!BF13+INPUT!BG13)*B104*B104/12/M104/INPUT!N13,0)</f>
        <v>0</v>
      </c>
      <c r="O104" s="296"/>
    </row>
    <row r="105">
      <c r="A105" s="176">
        <f>INPUT!D14</f>
        <v>101</v>
      </c>
      <c r="B105" s="177">
        <f>INPUT!AM14</f>
        <v>3175</v>
      </c>
      <c r="C105" s="449">
        <f>INPUT!H14*INPUT!I14*INPUT!J14+INPUT!K14*INPUT!L14+INPUT!N14*INPUT!O14*2/COS(ATAN(G105))+INPUT!AD14*INPUT!AE14*INPUT!AF14+INPUT!AG14*INPUT!AH14*INPUT!AI14</f>
        <v>116164.41464770856</v>
      </c>
      <c r="D105" s="177">
        <f>(INPUT!K14-2*INPUT!M14)*INPUT!Q14+INPUT!Q14*INPUT!Q14*G105</f>
        <v>0</v>
      </c>
      <c r="E105" s="450">
        <f>INPUT!R14*INPUT!AA14+2*INPUT!S14*INPUT!T14</f>
        <v>1580500</v>
      </c>
      <c r="F105" s="179">
        <f>(C105*7.85+(D105+E105)*2.5)/10^5/2</f>
        <v>24.315703274922562</v>
      </c>
      <c r="G105" s="178">
        <f>TAN(INPUT!P14)</f>
        <v>0.12565513657513097</v>
      </c>
      <c r="H105" s="179">
        <f>F105*G105*B105^2/12/10^6</f>
        <v>2.5666892684347467</v>
      </c>
      <c r="I105" s="179">
        <f>INPUT!N14/(MAX(INPUT!V14,INPUT!W14,INPUT!X14/2,INPUT!Y14/2)-INPUT!U14/2+G105*INPUT!N14)</f>
        <v>1.2716669438755954</v>
      </c>
      <c r="J105" s="179">
        <f>INPUT!R14*(MAX(INPUT!V14,INPUT!W14,INPUT!X14/2,INPUT!Y14/2)-INPUT!U14/2)/10^6*25</f>
        <v>13.4125</v>
      </c>
      <c r="K105" s="179">
        <f>0.5*J105/I105*B105*B105/12/10^6</f>
        <v>4.4300902142544727</v>
      </c>
      <c r="L105" s="179">
        <f>0.5*$E$77/I105*B105*B105/12/10^6</f>
        <v>0</v>
      </c>
      <c r="M105" s="180">
        <f>INPUT!G14</f>
        <v>0</v>
      </c>
      <c r="N105" s="181">
        <f>IF(M105&gt;0,(INPUT!BE14+INPUT!BF14+INPUT!BG14)*B105*B105/12/M105/INPUT!N14,0)</f>
        <v>0</v>
      </c>
      <c r="O105" s="296"/>
    </row>
    <row r="106">
      <c r="A106" s="176">
        <f>INPUT!D15</f>
        <v>101</v>
      </c>
      <c r="B106" s="177">
        <f>INPUT!AM15</f>
        <v>3175</v>
      </c>
      <c r="C106" s="449">
        <f>INPUT!H15*INPUT!I15*INPUT!J15+INPUT!K15*INPUT!L15+INPUT!N15*INPUT!O15*2/COS(ATAN(G106))+INPUT!AD15*INPUT!AE15*INPUT!AF15+INPUT!AG15*INPUT!AH15*INPUT!AI15</f>
        <v>116164.41464770856</v>
      </c>
      <c r="D106" s="177">
        <f>(INPUT!K15-2*INPUT!M15)*INPUT!Q15+INPUT!Q15*INPUT!Q15*G106</f>
        <v>0</v>
      </c>
      <c r="E106" s="450">
        <f>INPUT!R15*INPUT!AA15+2*INPUT!S15*INPUT!T15</f>
        <v>1580500</v>
      </c>
      <c r="F106" s="179">
        <f>(C106*7.85+(D106+E106)*2.5)/10^5/2</f>
        <v>24.315703274922562</v>
      </c>
      <c r="G106" s="178">
        <f>TAN(INPUT!P15)</f>
        <v>0.12565513657513097</v>
      </c>
      <c r="H106" s="179">
        <f>F106*G106*B106^2/12/10^6</f>
        <v>2.5666892684347467</v>
      </c>
      <c r="I106" s="179">
        <f>INPUT!N15/(MAX(INPUT!V15,INPUT!W15,INPUT!X15/2,INPUT!Y15/2)-INPUT!U15/2+G106*INPUT!N15)</f>
        <v>1.2716669438755954</v>
      </c>
      <c r="J106" s="179">
        <f>INPUT!R15*(MAX(INPUT!V15,INPUT!W15,INPUT!X15/2,INPUT!Y15/2)-INPUT!U15/2)/10^6*25</f>
        <v>13.4125</v>
      </c>
      <c r="K106" s="179">
        <f>0.5*J106/I106*B106*B106/12/10^6</f>
        <v>4.4300902142544727</v>
      </c>
      <c r="L106" s="179">
        <f>0.5*$E$77/I106*B106*B106/12/10^6</f>
        <v>0</v>
      </c>
      <c r="M106" s="180">
        <f>INPUT!G15</f>
        <v>0</v>
      </c>
      <c r="N106" s="181">
        <f>IF(M106&gt;0,(INPUT!BE15+INPUT!BF15+INPUT!BG15)*B106*B106/12/M106/INPUT!N15,0)</f>
        <v>0</v>
      </c>
      <c r="O106" s="296"/>
    </row>
    <row r="107">
      <c r="A107" s="176">
        <f>INPUT!D16</f>
        <v>101</v>
      </c>
      <c r="B107" s="177">
        <f>INPUT!AM16</f>
        <v>3175</v>
      </c>
      <c r="C107" s="449">
        <f>INPUT!H16*INPUT!I16*INPUT!J16+INPUT!K16*INPUT!L16+INPUT!N16*INPUT!O16*2/COS(ATAN(G107))+INPUT!AD16*INPUT!AE16*INPUT!AF16+INPUT!AG16*INPUT!AH16*INPUT!AI16</f>
        <v>116164.41464770856</v>
      </c>
      <c r="D107" s="177">
        <f>(INPUT!K16-2*INPUT!M16)*INPUT!Q16+INPUT!Q16*INPUT!Q16*G107</f>
        <v>0</v>
      </c>
      <c r="E107" s="450">
        <f>INPUT!R16*INPUT!AA16+2*INPUT!S16*INPUT!T16</f>
        <v>1580500</v>
      </c>
      <c r="F107" s="179">
        <f>(C107*7.85+(D107+E107)*2.5)/10^5/2</f>
        <v>24.315703274922562</v>
      </c>
      <c r="G107" s="178">
        <f>TAN(INPUT!P16)</f>
        <v>0.12565513657513097</v>
      </c>
      <c r="H107" s="179">
        <f>F107*G107*B107^2/12/10^6</f>
        <v>2.5666892684347467</v>
      </c>
      <c r="I107" s="179">
        <f>INPUT!N16/(MAX(INPUT!V16,INPUT!W16,INPUT!X16/2,INPUT!Y16/2)-INPUT!U16/2+G107*INPUT!N16)</f>
        <v>1.2716669438755954</v>
      </c>
      <c r="J107" s="179">
        <f>INPUT!R16*(MAX(INPUT!V16,INPUT!W16,INPUT!X16/2,INPUT!Y16/2)-INPUT!U16/2)/10^6*25</f>
        <v>13.4125</v>
      </c>
      <c r="K107" s="179">
        <f>0.5*J107/I107*B107*B107/12/10^6</f>
        <v>4.4300902142544727</v>
      </c>
      <c r="L107" s="179">
        <f>0.5*$E$77/I107*B107*B107/12/10^6</f>
        <v>0</v>
      </c>
      <c r="M107" s="180">
        <f>INPUT!G16</f>
        <v>0</v>
      </c>
      <c r="N107" s="181">
        <f>IF(M107&gt;0,(INPUT!BE16+INPUT!BF16+INPUT!BG16)*B107*B107/12/M107/INPUT!N16,0)</f>
        <v>0</v>
      </c>
      <c r="O107" s="296"/>
    </row>
    <row r="108">
      <c r="A108" s="176">
        <f>INPUT!D17</f>
        <v>101</v>
      </c>
      <c r="B108" s="177">
        <f>INPUT!AM17</f>
        <v>3175</v>
      </c>
      <c r="C108" s="449">
        <f>INPUT!H17*INPUT!I17*INPUT!J17+INPUT!K17*INPUT!L17+INPUT!N17*INPUT!O17*2/COS(ATAN(G108))+INPUT!AD17*INPUT!AE17*INPUT!AF17+INPUT!AG17*INPUT!AH17*INPUT!AI17</f>
        <v>116164.41464770856</v>
      </c>
      <c r="D108" s="177">
        <f>(INPUT!K17-2*INPUT!M17)*INPUT!Q17+INPUT!Q17*INPUT!Q17*G108</f>
        <v>0</v>
      </c>
      <c r="E108" s="450">
        <f>INPUT!R17*INPUT!AA17+2*INPUT!S17*INPUT!T17</f>
        <v>1580500</v>
      </c>
      <c r="F108" s="179">
        <f>(C108*7.85+(D108+E108)*2.5)/10^5/2</f>
        <v>24.315703274922562</v>
      </c>
      <c r="G108" s="178">
        <f>TAN(INPUT!P17)</f>
        <v>0.12565513657513097</v>
      </c>
      <c r="H108" s="179">
        <f>F108*G108*B108^2/12/10^6</f>
        <v>2.5666892684347467</v>
      </c>
      <c r="I108" s="179">
        <f>INPUT!N17/(MAX(INPUT!V17,INPUT!W17,INPUT!X17/2,INPUT!Y17/2)-INPUT!U17/2+G108*INPUT!N17)</f>
        <v>1.2716669438755954</v>
      </c>
      <c r="J108" s="179">
        <f>INPUT!R17*(MAX(INPUT!V17,INPUT!W17,INPUT!X17/2,INPUT!Y17/2)-INPUT!U17/2)/10^6*25</f>
        <v>13.4125</v>
      </c>
      <c r="K108" s="179">
        <f>0.5*J108/I108*B108*B108/12/10^6</f>
        <v>4.4300902142544727</v>
      </c>
      <c r="L108" s="179">
        <f>0.5*$E$77/I108*B108*B108/12/10^6</f>
        <v>0</v>
      </c>
      <c r="M108" s="180">
        <f>INPUT!G17</f>
        <v>0</v>
      </c>
      <c r="N108" s="181">
        <f>IF(M108&gt;0,(INPUT!BE17+INPUT!BF17+INPUT!BG17)*B108*B108/12/M108/INPUT!N17,0)</f>
        <v>0</v>
      </c>
      <c r="O108" s="296"/>
    </row>
    <row r="109">
      <c r="A109" s="176">
        <f>INPUT!D18</f>
        <v>101</v>
      </c>
      <c r="B109" s="177">
        <f>INPUT!AM18</f>
        <v>3175</v>
      </c>
      <c r="C109" s="449">
        <f>INPUT!H18*INPUT!I18*INPUT!J18+INPUT!K18*INPUT!L18+INPUT!N18*INPUT!O18*2/COS(ATAN(G109))+INPUT!AD18*INPUT!AE18*INPUT!AF18+INPUT!AG18*INPUT!AH18*INPUT!AI18</f>
        <v>116164.41464770856</v>
      </c>
      <c r="D109" s="177">
        <f>(INPUT!K18-2*INPUT!M18)*INPUT!Q18+INPUT!Q18*INPUT!Q18*G109</f>
        <v>0</v>
      </c>
      <c r="E109" s="450">
        <f>INPUT!R18*INPUT!AA18+2*INPUT!S18*INPUT!T18</f>
        <v>1580500</v>
      </c>
      <c r="F109" s="179">
        <f>(C109*7.85+(D109+E109)*2.5)/10^5/2</f>
        <v>24.315703274922562</v>
      </c>
      <c r="G109" s="178">
        <f>TAN(INPUT!P18)</f>
        <v>0.12565513657513097</v>
      </c>
      <c r="H109" s="179">
        <f>F109*G109*B109^2/12/10^6</f>
        <v>2.5666892684347467</v>
      </c>
      <c r="I109" s="179">
        <f>INPUT!N18/(MAX(INPUT!V18,INPUT!W18,INPUT!X18/2,INPUT!Y18/2)-INPUT!U18/2+G109*INPUT!N18)</f>
        <v>1.2716669438755954</v>
      </c>
      <c r="J109" s="179">
        <f>INPUT!R18*(MAX(INPUT!V18,INPUT!W18,INPUT!X18/2,INPUT!Y18/2)-INPUT!U18/2)/10^6*25</f>
        <v>13.4125</v>
      </c>
      <c r="K109" s="179">
        <f>0.5*J109/I109*B109*B109/12/10^6</f>
        <v>4.4300902142544727</v>
      </c>
      <c r="L109" s="179">
        <f>0.5*$E$77/I109*B109*B109/12/10^6</f>
        <v>0</v>
      </c>
      <c r="M109" s="180">
        <f>INPUT!G18</f>
        <v>0</v>
      </c>
      <c r="N109" s="181">
        <f>IF(M109&gt;0,(INPUT!BE18+INPUT!BF18+INPUT!BG18)*B109*B109/12/M109/INPUT!N18,0)</f>
        <v>0</v>
      </c>
      <c r="O109" s="296"/>
    </row>
    <row r="110">
      <c r="A110" s="176">
        <f>INPUT!D19</f>
        <v>101</v>
      </c>
      <c r="B110" s="177">
        <f>INPUT!AM19</f>
        <v>3175</v>
      </c>
      <c r="C110" s="449">
        <f>INPUT!H19*INPUT!I19*INPUT!J19+INPUT!K19*INPUT!L19+INPUT!N19*INPUT!O19*2/COS(ATAN(G110))+INPUT!AD19*INPUT!AE19*INPUT!AF19+INPUT!AG19*INPUT!AH19*INPUT!AI19</f>
        <v>116164.41464770856</v>
      </c>
      <c r="D110" s="177">
        <f>(INPUT!K19-2*INPUT!M19)*INPUT!Q19+INPUT!Q19*INPUT!Q19*G110</f>
        <v>0</v>
      </c>
      <c r="E110" s="450">
        <f>INPUT!R19*INPUT!AA19+2*INPUT!S19*INPUT!T19</f>
        <v>1580500</v>
      </c>
      <c r="F110" s="179">
        <f>(C110*7.85+(D110+E110)*2.5)/10^5/2</f>
        <v>24.315703274922562</v>
      </c>
      <c r="G110" s="178">
        <f>TAN(INPUT!P19)</f>
        <v>0.12565513657513097</v>
      </c>
      <c r="H110" s="179">
        <f>F110*G110*B110^2/12/10^6</f>
        <v>2.5666892684347467</v>
      </c>
      <c r="I110" s="179">
        <f>INPUT!N19/(MAX(INPUT!V19,INPUT!W19,INPUT!X19/2,INPUT!Y19/2)-INPUT!U19/2+G110*INPUT!N19)</f>
        <v>1.2716669438755954</v>
      </c>
      <c r="J110" s="179">
        <f>INPUT!R19*(MAX(INPUT!V19,INPUT!W19,INPUT!X19/2,INPUT!Y19/2)-INPUT!U19/2)/10^6*25</f>
        <v>13.4125</v>
      </c>
      <c r="K110" s="179">
        <f>0.5*J110/I110*B110*B110/12/10^6</f>
        <v>4.4300902142544727</v>
      </c>
      <c r="L110" s="179">
        <f>0.5*$E$77/I110*B110*B110/12/10^6</f>
        <v>0</v>
      </c>
      <c r="M110" s="180">
        <f>INPUT!G19</f>
        <v>0</v>
      </c>
      <c r="N110" s="181">
        <f>IF(M110&gt;0,(INPUT!BE19+INPUT!BF19+INPUT!BG19)*B110*B110/12/M110/INPUT!N19,0)</f>
        <v>0</v>
      </c>
      <c r="O110" s="296"/>
    </row>
    <row r="111">
      <c r="A111" s="176">
        <f>INPUT!D20</f>
        <v>101</v>
      </c>
      <c r="B111" s="177">
        <f>INPUT!AM20</f>
        <v>3175</v>
      </c>
      <c r="C111" s="449">
        <f>INPUT!H20*INPUT!I20*INPUT!J20+INPUT!K20*INPUT!L20+INPUT!N20*INPUT!O20*2/COS(ATAN(G111))+INPUT!AD20*INPUT!AE20*INPUT!AF20+INPUT!AG20*INPUT!AH20*INPUT!AI20</f>
        <v>116164.41464770856</v>
      </c>
      <c r="D111" s="177">
        <f>(INPUT!K20-2*INPUT!M20)*INPUT!Q20+INPUT!Q20*INPUT!Q20*G111</f>
        <v>0</v>
      </c>
      <c r="E111" s="450">
        <f>INPUT!R20*INPUT!AA20+2*INPUT!S20*INPUT!T20</f>
        <v>1580500</v>
      </c>
      <c r="F111" s="179">
        <f>(C111*7.85+(D111+E111)*2.5)/10^5/2</f>
        <v>24.315703274922562</v>
      </c>
      <c r="G111" s="178">
        <f>TAN(INPUT!P20)</f>
        <v>0.12565513657513097</v>
      </c>
      <c r="H111" s="179">
        <f>F111*G111*B111^2/12/10^6</f>
        <v>2.5666892684347467</v>
      </c>
      <c r="I111" s="179">
        <f>INPUT!N20/(MAX(INPUT!V20,INPUT!W20,INPUT!X20/2,INPUT!Y20/2)-INPUT!U20/2+G111*INPUT!N20)</f>
        <v>1.2716669438755954</v>
      </c>
      <c r="J111" s="179">
        <f>INPUT!R20*(MAX(INPUT!V20,INPUT!W20,INPUT!X20/2,INPUT!Y20/2)-INPUT!U20/2)/10^6*25</f>
        <v>13.4125</v>
      </c>
      <c r="K111" s="179">
        <f>0.5*J111/I111*B111*B111/12/10^6</f>
        <v>4.4300902142544727</v>
      </c>
      <c r="L111" s="179">
        <f>0.5*$E$77/I111*B111*B111/12/10^6</f>
        <v>0</v>
      </c>
      <c r="M111" s="180">
        <f>INPUT!G20</f>
        <v>0</v>
      </c>
      <c r="N111" s="181">
        <f>IF(M111&gt;0,(INPUT!BE20+INPUT!BF20+INPUT!BG20)*B111*B111/12/M111/INPUT!N20,0)</f>
        <v>0</v>
      </c>
      <c r="O111" s="296"/>
    </row>
    <row r="112">
      <c r="A112" s="176">
        <f>INPUT!D21</f>
        <v>101</v>
      </c>
      <c r="B112" s="177">
        <f>INPUT!AM21</f>
        <v>3175</v>
      </c>
      <c r="C112" s="449">
        <f>INPUT!H21*INPUT!I21*INPUT!J21+INPUT!K21*INPUT!L21+INPUT!N21*INPUT!O21*2/COS(ATAN(G112))+INPUT!AD21*INPUT!AE21*INPUT!AF21+INPUT!AG21*INPUT!AH21*INPUT!AI21</f>
        <v>116164.41464770856</v>
      </c>
      <c r="D112" s="177">
        <f>(INPUT!K21-2*INPUT!M21)*INPUT!Q21+INPUT!Q21*INPUT!Q21*G112</f>
        <v>0</v>
      </c>
      <c r="E112" s="450">
        <f>INPUT!R21*INPUT!AA21+2*INPUT!S21*INPUT!T21</f>
        <v>1580500</v>
      </c>
      <c r="F112" s="179">
        <f>(C112*7.85+(D112+E112)*2.5)/10^5/2</f>
        <v>24.315703274922562</v>
      </c>
      <c r="G112" s="178">
        <f>TAN(INPUT!P21)</f>
        <v>0.12565513657513097</v>
      </c>
      <c r="H112" s="179">
        <f>F112*G112*B112^2/12/10^6</f>
        <v>2.5666892684347467</v>
      </c>
      <c r="I112" s="179">
        <f>INPUT!N21/(MAX(INPUT!V21,INPUT!W21,INPUT!X21/2,INPUT!Y21/2)-INPUT!U21/2+G112*INPUT!N21)</f>
        <v>1.2716669438755954</v>
      </c>
      <c r="J112" s="179">
        <f>INPUT!R21*(MAX(INPUT!V21,INPUT!W21,INPUT!X21/2,INPUT!Y21/2)-INPUT!U21/2)/10^6*25</f>
        <v>13.4125</v>
      </c>
      <c r="K112" s="179">
        <f>0.5*J112/I112*B112*B112/12/10^6</f>
        <v>4.4300902142544727</v>
      </c>
      <c r="L112" s="179">
        <f>0.5*$E$77/I112*B112*B112/12/10^6</f>
        <v>0</v>
      </c>
      <c r="M112" s="180">
        <f>INPUT!G21</f>
        <v>0</v>
      </c>
      <c r="N112" s="181">
        <f>IF(M112&gt;0,(INPUT!BE21+INPUT!BF21+INPUT!BG21)*B112*B112/12/M112/INPUT!N21,0)</f>
        <v>0</v>
      </c>
      <c r="O112" s="296"/>
    </row>
    <row r="113">
      <c r="A113" s="176">
        <f>INPUT!D22</f>
        <v>101</v>
      </c>
      <c r="B113" s="177">
        <f>INPUT!AM22</f>
        <v>3175</v>
      </c>
      <c r="C113" s="449">
        <f>INPUT!H22*INPUT!I22*INPUT!J22+INPUT!K22*INPUT!L22+INPUT!N22*INPUT!O22*2/COS(ATAN(G113))+INPUT!AD22*INPUT!AE22*INPUT!AF22+INPUT!AG22*INPUT!AH22*INPUT!AI22</f>
        <v>116164.41464770856</v>
      </c>
      <c r="D113" s="177">
        <f>(INPUT!K22-2*INPUT!M22)*INPUT!Q22+INPUT!Q22*INPUT!Q22*G113</f>
        <v>0</v>
      </c>
      <c r="E113" s="450">
        <f>INPUT!R22*INPUT!AA22+2*INPUT!S22*INPUT!T22</f>
        <v>1580500</v>
      </c>
      <c r="F113" s="179">
        <f>(C113*7.85+(D113+E113)*2.5)/10^5/2</f>
        <v>24.315703274922562</v>
      </c>
      <c r="G113" s="178">
        <f>TAN(INPUT!P22)</f>
        <v>0.12565513657513097</v>
      </c>
      <c r="H113" s="179">
        <f>F113*G113*B113^2/12/10^6</f>
        <v>2.5666892684347467</v>
      </c>
      <c r="I113" s="179">
        <f>INPUT!N22/(MAX(INPUT!V22,INPUT!W22,INPUT!X22/2,INPUT!Y22/2)-INPUT!U22/2+G113*INPUT!N22)</f>
        <v>1.2716669438755954</v>
      </c>
      <c r="J113" s="179">
        <f>INPUT!R22*(MAX(INPUT!V22,INPUT!W22,INPUT!X22/2,INPUT!Y22/2)-INPUT!U22/2)/10^6*25</f>
        <v>13.4125</v>
      </c>
      <c r="K113" s="179">
        <f>0.5*J113/I113*B113*B113/12/10^6</f>
        <v>4.4300902142544727</v>
      </c>
      <c r="L113" s="179">
        <f>0.5*$E$77/I113*B113*B113/12/10^6</f>
        <v>0</v>
      </c>
      <c r="M113" s="180">
        <f>INPUT!G22</f>
        <v>0</v>
      </c>
      <c r="N113" s="181">
        <f>IF(M113&gt;0,(INPUT!BE22+INPUT!BF22+INPUT!BG22)*B113*B113/12/M113/INPUT!N22,0)</f>
        <v>0</v>
      </c>
      <c r="O113" s="296"/>
    </row>
    <row r="114">
      <c r="A114" s="176">
        <f>INPUT!D23</f>
        <v>101</v>
      </c>
      <c r="B114" s="177">
        <f>INPUT!AM23</f>
        <v>3175</v>
      </c>
      <c r="C114" s="449">
        <f>INPUT!H23*INPUT!I23*INPUT!J23+INPUT!K23*INPUT!L23+INPUT!N23*INPUT!O23*2/COS(ATAN(G114))+INPUT!AD23*INPUT!AE23*INPUT!AF23+INPUT!AG23*INPUT!AH23*INPUT!AI23</f>
        <v>116164.41464770856</v>
      </c>
      <c r="D114" s="177">
        <f>(INPUT!K23-2*INPUT!M23)*INPUT!Q23+INPUT!Q23*INPUT!Q23*G114</f>
        <v>0</v>
      </c>
      <c r="E114" s="450">
        <f>INPUT!R23*INPUT!AA23+2*INPUT!S23*INPUT!T23</f>
        <v>1580500</v>
      </c>
      <c r="F114" s="179">
        <f>(C114*7.85+(D114+E114)*2.5)/10^5/2</f>
        <v>24.315703274922562</v>
      </c>
      <c r="G114" s="178">
        <f>TAN(INPUT!P23)</f>
        <v>0.12565513657513097</v>
      </c>
      <c r="H114" s="179">
        <f>F114*G114*B114^2/12/10^6</f>
        <v>2.5666892684347467</v>
      </c>
      <c r="I114" s="179">
        <f>INPUT!N23/(MAX(INPUT!V23,INPUT!W23,INPUT!X23/2,INPUT!Y23/2)-INPUT!U23/2+G114*INPUT!N23)</f>
        <v>1.2716669438755954</v>
      </c>
      <c r="J114" s="179">
        <f>INPUT!R23*(MAX(INPUT!V23,INPUT!W23,INPUT!X23/2,INPUT!Y23/2)-INPUT!U23/2)/10^6*25</f>
        <v>13.4125</v>
      </c>
      <c r="K114" s="179">
        <f>0.5*J114/I114*B114*B114/12/10^6</f>
        <v>4.4300902142544727</v>
      </c>
      <c r="L114" s="179">
        <f>0.5*$E$77/I114*B114*B114/12/10^6</f>
        <v>0</v>
      </c>
      <c r="M114" s="180">
        <f>INPUT!G23</f>
        <v>0</v>
      </c>
      <c r="N114" s="181">
        <f>IF(M114&gt;0,(INPUT!BE23+INPUT!BF23+INPUT!BG23)*B114*B114/12/M114/INPUT!N23,0)</f>
        <v>0</v>
      </c>
      <c r="O114" s="296"/>
    </row>
    <row r="115">
      <c r="A115" s="176">
        <f>INPUT!D24</f>
        <v>101</v>
      </c>
      <c r="B115" s="177">
        <f>INPUT!AM24</f>
        <v>3175</v>
      </c>
      <c r="C115" s="449">
        <f>INPUT!H24*INPUT!I24*INPUT!J24+INPUT!K24*INPUT!L24+INPUT!N24*INPUT!O24*2/COS(ATAN(G115))+INPUT!AD24*INPUT!AE24*INPUT!AF24+INPUT!AG24*INPUT!AH24*INPUT!AI24</f>
        <v>116164.41464770856</v>
      </c>
      <c r="D115" s="177">
        <f>(INPUT!K24-2*INPUT!M24)*INPUT!Q24+INPUT!Q24*INPUT!Q24*G115</f>
        <v>0</v>
      </c>
      <c r="E115" s="450">
        <f>INPUT!R24*INPUT!AA24+2*INPUT!S24*INPUT!T24</f>
        <v>1580500</v>
      </c>
      <c r="F115" s="179">
        <f>(C115*7.85+(D115+E115)*2.5)/10^5/2</f>
        <v>24.315703274922562</v>
      </c>
      <c r="G115" s="178">
        <f>TAN(INPUT!P24)</f>
        <v>0.12565513657513097</v>
      </c>
      <c r="H115" s="179">
        <f>F115*G115*B115^2/12/10^6</f>
        <v>2.5666892684347467</v>
      </c>
      <c r="I115" s="179">
        <f>INPUT!N24/(MAX(INPUT!V24,INPUT!W24,INPUT!X24/2,INPUT!Y24/2)-INPUT!U24/2+G115*INPUT!N24)</f>
        <v>1.2716669438755954</v>
      </c>
      <c r="J115" s="179">
        <f>INPUT!R24*(MAX(INPUT!V24,INPUT!W24,INPUT!X24/2,INPUT!Y24/2)-INPUT!U24/2)/10^6*25</f>
        <v>13.4125</v>
      </c>
      <c r="K115" s="179">
        <f>0.5*J115/I115*B115*B115/12/10^6</f>
        <v>4.4300902142544727</v>
      </c>
      <c r="L115" s="179">
        <f>0.5*$E$77/I115*B115*B115/12/10^6</f>
        <v>0</v>
      </c>
      <c r="M115" s="180">
        <f>INPUT!G24</f>
        <v>0</v>
      </c>
      <c r="N115" s="181">
        <f>IF(M115&gt;0,(INPUT!BE24+INPUT!BF24+INPUT!BG24)*B115*B115/12/M115/INPUT!N24,0)</f>
        <v>0</v>
      </c>
      <c r="O115" s="296"/>
    </row>
    <row r="116">
      <c r="A116" s="176">
        <f>INPUT!D25</f>
        <v>101</v>
      </c>
      <c r="B116" s="177">
        <f>INPUT!AM25</f>
        <v>3175</v>
      </c>
      <c r="C116" s="449">
        <f>INPUT!H25*INPUT!I25*INPUT!J25+INPUT!K25*INPUT!L25+INPUT!N25*INPUT!O25*2/COS(ATAN(G116))+INPUT!AD25*INPUT!AE25*INPUT!AF25+INPUT!AG25*INPUT!AH25*INPUT!AI25</f>
        <v>116164.41464770856</v>
      </c>
      <c r="D116" s="177">
        <f>(INPUT!K25-2*INPUT!M25)*INPUT!Q25+INPUT!Q25*INPUT!Q25*G116</f>
        <v>0</v>
      </c>
      <c r="E116" s="450">
        <f>INPUT!R25*INPUT!AA25+2*INPUT!S25*INPUT!T25</f>
        <v>1580500</v>
      </c>
      <c r="F116" s="179">
        <f>(C116*7.85+(D116+E116)*2.5)/10^5/2</f>
        <v>24.315703274922562</v>
      </c>
      <c r="G116" s="178">
        <f>TAN(INPUT!P25)</f>
        <v>0.12565513657513097</v>
      </c>
      <c r="H116" s="179">
        <f>F116*G116*B116^2/12/10^6</f>
        <v>2.5666892684347467</v>
      </c>
      <c r="I116" s="179">
        <f>INPUT!N25/(MAX(INPUT!V25,INPUT!W25,INPUT!X25/2,INPUT!Y25/2)-INPUT!U25/2+G116*INPUT!N25)</f>
        <v>1.2716669438755954</v>
      </c>
      <c r="J116" s="179">
        <f>INPUT!R25*(MAX(INPUT!V25,INPUT!W25,INPUT!X25/2,INPUT!Y25/2)-INPUT!U25/2)/10^6*25</f>
        <v>13.4125</v>
      </c>
      <c r="K116" s="179">
        <f>0.5*J116/I116*B116*B116/12/10^6</f>
        <v>4.4300902142544727</v>
      </c>
      <c r="L116" s="179">
        <f>0.5*$E$77/I116*B116*B116/12/10^6</f>
        <v>0</v>
      </c>
      <c r="M116" s="180">
        <f>INPUT!G25</f>
        <v>0</v>
      </c>
      <c r="N116" s="181">
        <f>IF(M116&gt;0,(INPUT!BE25+INPUT!BF25+INPUT!BG25)*B116*B116/12/M116/INPUT!N25,0)</f>
        <v>0</v>
      </c>
      <c r="O116" s="296"/>
    </row>
    <row r="117">
      <c r="A117" s="176">
        <f>INPUT!D26</f>
        <v>101</v>
      </c>
      <c r="B117" s="177">
        <f>INPUT!AM26</f>
        <v>3175</v>
      </c>
      <c r="C117" s="449">
        <f>INPUT!H26*INPUT!I26*INPUT!J26+INPUT!K26*INPUT!L26+INPUT!N26*INPUT!O26*2/COS(ATAN(G117))+INPUT!AD26*INPUT!AE26*INPUT!AF26+INPUT!AG26*INPUT!AH26*INPUT!AI26</f>
        <v>116164.41464770856</v>
      </c>
      <c r="D117" s="177">
        <f>(INPUT!K26-2*INPUT!M26)*INPUT!Q26+INPUT!Q26*INPUT!Q26*G117</f>
        <v>0</v>
      </c>
      <c r="E117" s="450">
        <f>INPUT!R26*INPUT!AA26+2*INPUT!S26*INPUT!T26</f>
        <v>1580500</v>
      </c>
      <c r="F117" s="179">
        <f>(C117*7.85+(D117+E117)*2.5)/10^5/2</f>
        <v>24.315703274922562</v>
      </c>
      <c r="G117" s="178">
        <f>TAN(INPUT!P26)</f>
        <v>0.12565513657513097</v>
      </c>
      <c r="H117" s="179">
        <f>F117*G117*B117^2/12/10^6</f>
        <v>2.5666892684347467</v>
      </c>
      <c r="I117" s="179">
        <f>INPUT!N26/(MAX(INPUT!V26,INPUT!W26,INPUT!X26/2,INPUT!Y26/2)-INPUT!U26/2+G117*INPUT!N26)</f>
        <v>1.2716669438755954</v>
      </c>
      <c r="J117" s="179">
        <f>INPUT!R26*(MAX(INPUT!V26,INPUT!W26,INPUT!X26/2,INPUT!Y26/2)-INPUT!U26/2)/10^6*25</f>
        <v>13.4125</v>
      </c>
      <c r="K117" s="179">
        <f>0.5*J117/I117*B117*B117/12/10^6</f>
        <v>4.4300902142544727</v>
      </c>
      <c r="L117" s="179">
        <f>0.5*$E$77/I117*B117*B117/12/10^6</f>
        <v>0</v>
      </c>
      <c r="M117" s="180">
        <f>INPUT!G26</f>
        <v>0</v>
      </c>
      <c r="N117" s="181">
        <f>IF(M117&gt;0,(INPUT!BE26+INPUT!BF26+INPUT!BG26)*B117*B117/12/M117/INPUT!N26,0)</f>
        <v>0</v>
      </c>
      <c r="O117" s="296"/>
    </row>
    <row r="118">
      <c r="A118" s="176">
        <f>INPUT!D27</f>
        <v>101</v>
      </c>
      <c r="B118" s="177">
        <f>INPUT!AM27</f>
        <v>3175</v>
      </c>
      <c r="C118" s="449">
        <f>INPUT!H27*INPUT!I27*INPUT!J27+INPUT!K27*INPUT!L27+INPUT!N27*INPUT!O27*2/COS(ATAN(G118))+INPUT!AD27*INPUT!AE27*INPUT!AF27+INPUT!AG27*INPUT!AH27*INPUT!AI27</f>
        <v>116164.41464770856</v>
      </c>
      <c r="D118" s="177">
        <f>(INPUT!K27-2*INPUT!M27)*INPUT!Q27+INPUT!Q27*INPUT!Q27*G118</f>
        <v>0</v>
      </c>
      <c r="E118" s="450">
        <f>INPUT!R27*INPUT!AA27+2*INPUT!S27*INPUT!T27</f>
        <v>1580500</v>
      </c>
      <c r="F118" s="179">
        <f>(C118*7.85+(D118+E118)*2.5)/10^5/2</f>
        <v>24.315703274922562</v>
      </c>
      <c r="G118" s="178">
        <f>TAN(INPUT!P27)</f>
        <v>0.12565513657513097</v>
      </c>
      <c r="H118" s="179">
        <f>F118*G118*B118^2/12/10^6</f>
        <v>2.5666892684347467</v>
      </c>
      <c r="I118" s="179">
        <f>INPUT!N27/(MAX(INPUT!V27,INPUT!W27,INPUT!X27/2,INPUT!Y27/2)-INPUT!U27/2+G118*INPUT!N27)</f>
        <v>1.2716669438755954</v>
      </c>
      <c r="J118" s="179">
        <f>INPUT!R27*(MAX(INPUT!V27,INPUT!W27,INPUT!X27/2,INPUT!Y27/2)-INPUT!U27/2)/10^6*25</f>
        <v>13.4125</v>
      </c>
      <c r="K118" s="179">
        <f>0.5*J118/I118*B118*B118/12/10^6</f>
        <v>4.4300902142544727</v>
      </c>
      <c r="L118" s="179">
        <f>0.5*$E$77/I118*B118*B118/12/10^6</f>
        <v>0</v>
      </c>
      <c r="M118" s="180">
        <f>INPUT!G27</f>
        <v>0</v>
      </c>
      <c r="N118" s="181">
        <f>IF(M118&gt;0,(INPUT!BE27+INPUT!BF27+INPUT!BG27)*B118*B118/12/M118/INPUT!N27,0)</f>
        <v>0</v>
      </c>
      <c r="O118" s="296"/>
    </row>
    <row r="119">
      <c r="A119" s="176">
        <f>INPUT!D28</f>
        <v>101</v>
      </c>
      <c r="B119" s="177">
        <f>INPUT!AM28</f>
        <v>3175</v>
      </c>
      <c r="C119" s="449">
        <f>INPUT!H28*INPUT!I28*INPUT!J28+INPUT!K28*INPUT!L28+INPUT!N28*INPUT!O28*2/COS(ATAN(G119))+INPUT!AD28*INPUT!AE28*INPUT!AF28+INPUT!AG28*INPUT!AH28*INPUT!AI28</f>
        <v>116164.41464770856</v>
      </c>
      <c r="D119" s="177">
        <f>(INPUT!K28-2*INPUT!M28)*INPUT!Q28+INPUT!Q28*INPUT!Q28*G119</f>
        <v>0</v>
      </c>
      <c r="E119" s="450">
        <f>INPUT!R28*INPUT!AA28+2*INPUT!S28*INPUT!T28</f>
        <v>1580500</v>
      </c>
      <c r="F119" s="179">
        <f>(C119*7.85+(D119+E119)*2.5)/10^5/2</f>
        <v>24.315703274922562</v>
      </c>
      <c r="G119" s="178">
        <f>TAN(INPUT!P28)</f>
        <v>0.12565513657513097</v>
      </c>
      <c r="H119" s="179">
        <f>F119*G119*B119^2/12/10^6</f>
        <v>2.5666892684347467</v>
      </c>
      <c r="I119" s="179">
        <f>INPUT!N28/(MAX(INPUT!V28,INPUT!W28,INPUT!X28/2,INPUT!Y28/2)-INPUT!U28/2+G119*INPUT!N28)</f>
        <v>1.2716669438755954</v>
      </c>
      <c r="J119" s="179">
        <f>INPUT!R28*(MAX(INPUT!V28,INPUT!W28,INPUT!X28/2,INPUT!Y28/2)-INPUT!U28/2)/10^6*25</f>
        <v>13.4125</v>
      </c>
      <c r="K119" s="179">
        <f>0.5*J119/I119*B119*B119/12/10^6</f>
        <v>4.4300902142544727</v>
      </c>
      <c r="L119" s="179">
        <f>0.5*$E$77/I119*B119*B119/12/10^6</f>
        <v>0</v>
      </c>
      <c r="M119" s="180">
        <f>INPUT!G28</f>
        <v>0</v>
      </c>
      <c r="N119" s="181">
        <f>IF(M119&gt;0,(INPUT!BE28+INPUT!BF28+INPUT!BG28)*B119*B119/12/M119/INPUT!N28,0)</f>
        <v>0</v>
      </c>
      <c r="O119" s="296"/>
    </row>
    <row r="120">
      <c r="A120" s="176">
        <f>INPUT!D29</f>
        <v>101</v>
      </c>
      <c r="B120" s="177">
        <f>INPUT!AM29</f>
        <v>3175</v>
      </c>
      <c r="C120" s="449">
        <f>INPUT!H29*INPUT!I29*INPUT!J29+INPUT!K29*INPUT!L29+INPUT!N29*INPUT!O29*2/COS(ATAN(G120))+INPUT!AD29*INPUT!AE29*INPUT!AF29+INPUT!AG29*INPUT!AH29*INPUT!AI29</f>
        <v>116164.41464770856</v>
      </c>
      <c r="D120" s="177">
        <f>(INPUT!K29-2*INPUT!M29)*INPUT!Q29+INPUT!Q29*INPUT!Q29*G120</f>
        <v>0</v>
      </c>
      <c r="E120" s="450">
        <f>INPUT!R29*INPUT!AA29+2*INPUT!S29*INPUT!T29</f>
        <v>1580500</v>
      </c>
      <c r="F120" s="179">
        <f>(C120*7.85+(D120+E120)*2.5)/10^5/2</f>
        <v>24.315703274922562</v>
      </c>
      <c r="G120" s="178">
        <f>TAN(INPUT!P29)</f>
        <v>0.12565513657513097</v>
      </c>
      <c r="H120" s="179">
        <f>F120*G120*B120^2/12/10^6</f>
        <v>2.5666892684347467</v>
      </c>
      <c r="I120" s="179">
        <f>INPUT!N29/(MAX(INPUT!V29,INPUT!W29,INPUT!X29/2,INPUT!Y29/2)-INPUT!U29/2+G120*INPUT!N29)</f>
        <v>1.2716669438755954</v>
      </c>
      <c r="J120" s="179">
        <f>INPUT!R29*(MAX(INPUT!V29,INPUT!W29,INPUT!X29/2,INPUT!Y29/2)-INPUT!U29/2)/10^6*25</f>
        <v>13.4125</v>
      </c>
      <c r="K120" s="179">
        <f>0.5*J120/I120*B120*B120/12/10^6</f>
        <v>4.4300902142544727</v>
      </c>
      <c r="L120" s="179">
        <f>0.5*$E$77/I120*B120*B120/12/10^6</f>
        <v>0</v>
      </c>
      <c r="M120" s="180">
        <f>INPUT!G29</f>
        <v>0</v>
      </c>
      <c r="N120" s="181">
        <f>IF(M120&gt;0,(INPUT!BE29+INPUT!BF29+INPUT!BG29)*B120*B120/12/M120/INPUT!N29,0)</f>
        <v>0</v>
      </c>
      <c r="O120" s="296"/>
    </row>
    <row r="121">
      <c r="A121" s="176">
        <f>INPUT!D30</f>
        <v>101</v>
      </c>
      <c r="B121" s="177">
        <f>INPUT!AM30</f>
        <v>3175</v>
      </c>
      <c r="C121" s="449">
        <f>INPUT!H30*INPUT!I30*INPUT!J30+INPUT!K30*INPUT!L30+INPUT!N30*INPUT!O30*2/COS(ATAN(G121))+INPUT!AD30*INPUT!AE30*INPUT!AF30+INPUT!AG30*INPUT!AH30*INPUT!AI30</f>
        <v>116164.41464770856</v>
      </c>
      <c r="D121" s="177">
        <f>(INPUT!K30-2*INPUT!M30)*INPUT!Q30+INPUT!Q30*INPUT!Q30*G121</f>
        <v>0</v>
      </c>
      <c r="E121" s="450">
        <f>INPUT!R30*INPUT!AA30+2*INPUT!S30*INPUT!T30</f>
        <v>1580500</v>
      </c>
      <c r="F121" s="179">
        <f>(C121*7.85+(D121+E121)*2.5)/10^5/2</f>
        <v>24.315703274922562</v>
      </c>
      <c r="G121" s="178">
        <f>TAN(INPUT!P30)</f>
        <v>0.12565513657513097</v>
      </c>
      <c r="H121" s="179">
        <f>F121*G121*B121^2/12/10^6</f>
        <v>2.5666892684347467</v>
      </c>
      <c r="I121" s="179">
        <f>INPUT!N30/(MAX(INPUT!V30,INPUT!W30,INPUT!X30/2,INPUT!Y30/2)-INPUT!U30/2+G121*INPUT!N30)</f>
        <v>1.2716669438755954</v>
      </c>
      <c r="J121" s="179">
        <f>INPUT!R30*(MAX(INPUT!V30,INPUT!W30,INPUT!X30/2,INPUT!Y30/2)-INPUT!U30/2)/10^6*25</f>
        <v>13.4125</v>
      </c>
      <c r="K121" s="179">
        <f>0.5*J121/I121*B121*B121/12/10^6</f>
        <v>4.4300902142544727</v>
      </c>
      <c r="L121" s="179">
        <f>0.5*$E$77/I121*B121*B121/12/10^6</f>
        <v>0</v>
      </c>
      <c r="M121" s="180">
        <f>INPUT!G30</f>
        <v>0</v>
      </c>
      <c r="N121" s="181">
        <f>IF(M121&gt;0,(INPUT!BE30+INPUT!BF30+INPUT!BG30)*B121*B121/12/M121/INPUT!N30,0)</f>
        <v>0</v>
      </c>
      <c r="O121" s="296"/>
    </row>
    <row r="122">
      <c r="A122" s="176">
        <f>INPUT!D31</f>
        <v>101</v>
      </c>
      <c r="B122" s="177">
        <f>INPUT!AM31</f>
        <v>3175</v>
      </c>
      <c r="C122" s="449">
        <f>INPUT!H31*INPUT!I31*INPUT!J31+INPUT!K31*INPUT!L31+INPUT!N31*INPUT!O31*2/COS(ATAN(G122))+INPUT!AD31*INPUT!AE31*INPUT!AF31+INPUT!AG31*INPUT!AH31*INPUT!AI31</f>
        <v>116164.41464770856</v>
      </c>
      <c r="D122" s="177">
        <f>(INPUT!K31-2*INPUT!M31)*INPUT!Q31+INPUT!Q31*INPUT!Q31*G122</f>
        <v>0</v>
      </c>
      <c r="E122" s="450">
        <f>INPUT!R31*INPUT!AA31+2*INPUT!S31*INPUT!T31</f>
        <v>1580500</v>
      </c>
      <c r="F122" s="179">
        <f>(C122*7.85+(D122+E122)*2.5)/10^5/2</f>
        <v>24.315703274922562</v>
      </c>
      <c r="G122" s="178">
        <f>TAN(INPUT!P31)</f>
        <v>0.12565513657513097</v>
      </c>
      <c r="H122" s="179">
        <f>F122*G122*B122^2/12/10^6</f>
        <v>2.5666892684347467</v>
      </c>
      <c r="I122" s="179">
        <f>INPUT!N31/(MAX(INPUT!V31,INPUT!W31,INPUT!X31/2,INPUT!Y31/2)-INPUT!U31/2+G122*INPUT!N31)</f>
        <v>1.2716669438755954</v>
      </c>
      <c r="J122" s="179">
        <f>INPUT!R31*(MAX(INPUT!V31,INPUT!W31,INPUT!X31/2,INPUT!Y31/2)-INPUT!U31/2)/10^6*25</f>
        <v>13.4125</v>
      </c>
      <c r="K122" s="179">
        <f>0.5*J122/I122*B122*B122/12/10^6</f>
        <v>4.4300902142544727</v>
      </c>
      <c r="L122" s="179">
        <f>0.5*$E$77/I122*B122*B122/12/10^6</f>
        <v>0</v>
      </c>
      <c r="M122" s="180">
        <f>INPUT!G31</f>
        <v>0</v>
      </c>
      <c r="N122" s="181">
        <f>IF(M122&gt;0,(INPUT!BE31+INPUT!BF31+INPUT!BG31)*B122*B122/12/M122/INPUT!N31,0)</f>
        <v>0</v>
      </c>
      <c r="O122" s="296"/>
    </row>
    <row r="123">
      <c r="A123" s="176">
        <f>INPUT!D32</f>
        <v>101</v>
      </c>
      <c r="B123" s="177">
        <f>INPUT!AM32</f>
        <v>3175</v>
      </c>
      <c r="C123" s="449">
        <f>INPUT!H32*INPUT!I32*INPUT!J32+INPUT!K32*INPUT!L32+INPUT!N32*INPUT!O32*2/COS(ATAN(G123))+INPUT!AD32*INPUT!AE32*INPUT!AF32+INPUT!AG32*INPUT!AH32*INPUT!AI32</f>
        <v>116164.41464770856</v>
      </c>
      <c r="D123" s="177">
        <f>(INPUT!K32-2*INPUT!M32)*INPUT!Q32+INPUT!Q32*INPUT!Q32*G123</f>
        <v>0</v>
      </c>
      <c r="E123" s="450">
        <f>INPUT!R32*INPUT!AA32+2*INPUT!S32*INPUT!T32</f>
        <v>1580500</v>
      </c>
      <c r="F123" s="179">
        <f>(C123*7.85+(D123+E123)*2.5)/10^5/2</f>
        <v>24.315703274922562</v>
      </c>
      <c r="G123" s="178">
        <f>TAN(INPUT!P32)</f>
        <v>0.12565513657513097</v>
      </c>
      <c r="H123" s="179">
        <f>F123*G123*B123^2/12/10^6</f>
        <v>2.5666892684347467</v>
      </c>
      <c r="I123" s="179">
        <f>INPUT!N32/(MAX(INPUT!V32,INPUT!W32,INPUT!X32/2,INPUT!Y32/2)-INPUT!U32/2+G123*INPUT!N32)</f>
        <v>1.2716669438755954</v>
      </c>
      <c r="J123" s="179">
        <f>INPUT!R32*(MAX(INPUT!V32,INPUT!W32,INPUT!X32/2,INPUT!Y32/2)-INPUT!U32/2)/10^6*25</f>
        <v>13.4125</v>
      </c>
      <c r="K123" s="179">
        <f>0.5*J123/I123*B123*B123/12/10^6</f>
        <v>4.4300902142544727</v>
      </c>
      <c r="L123" s="179">
        <f>0.5*$E$77/I123*B123*B123/12/10^6</f>
        <v>0</v>
      </c>
      <c r="M123" s="180">
        <f>INPUT!G32</f>
        <v>0</v>
      </c>
      <c r="N123" s="181">
        <f>IF(M123&gt;0,(INPUT!BE32+INPUT!BF32+INPUT!BG32)*B123*B123/12/M123/INPUT!N32,0)</f>
        <v>0</v>
      </c>
      <c r="O123" s="296"/>
    </row>
    <row r="124">
      <c r="A124" s="176">
        <f>INPUT!D33</f>
        <v>101</v>
      </c>
      <c r="B124" s="177">
        <f>INPUT!AM33</f>
        <v>3175</v>
      </c>
      <c r="C124" s="449">
        <f>INPUT!H33*INPUT!I33*INPUT!J33+INPUT!K33*INPUT!L33+INPUT!N33*INPUT!O33*2/COS(ATAN(G124))+INPUT!AD33*INPUT!AE33*INPUT!AF33+INPUT!AG33*INPUT!AH33*INPUT!AI33</f>
        <v>116164.41464770856</v>
      </c>
      <c r="D124" s="177">
        <f>(INPUT!K33-2*INPUT!M33)*INPUT!Q33+INPUT!Q33*INPUT!Q33*G124</f>
        <v>0</v>
      </c>
      <c r="E124" s="450">
        <f>INPUT!R33*INPUT!AA33+2*INPUT!S33*INPUT!T33</f>
        <v>1580500</v>
      </c>
      <c r="F124" s="179">
        <f>(C124*7.85+(D124+E124)*2.5)/10^5/2</f>
        <v>24.315703274922562</v>
      </c>
      <c r="G124" s="178">
        <f>TAN(INPUT!P33)</f>
        <v>0.12565513657513097</v>
      </c>
      <c r="H124" s="179">
        <f>F124*G124*B124^2/12/10^6</f>
        <v>2.5666892684347467</v>
      </c>
      <c r="I124" s="179">
        <f>INPUT!N33/(MAX(INPUT!V33,INPUT!W33,INPUT!X33/2,INPUT!Y33/2)-INPUT!U33/2+G124*INPUT!N33)</f>
        <v>1.2716669438755954</v>
      </c>
      <c r="J124" s="179">
        <f>INPUT!R33*(MAX(INPUT!V33,INPUT!W33,INPUT!X33/2,INPUT!Y33/2)-INPUT!U33/2)/10^6*25</f>
        <v>13.4125</v>
      </c>
      <c r="K124" s="179">
        <f>0.5*J124/I124*B124*B124/12/10^6</f>
        <v>4.4300902142544727</v>
      </c>
      <c r="L124" s="179">
        <f>0.5*$E$77/I124*B124*B124/12/10^6</f>
        <v>0</v>
      </c>
      <c r="M124" s="180">
        <f>INPUT!G33</f>
        <v>0</v>
      </c>
      <c r="N124" s="181">
        <f>IF(M124&gt;0,(INPUT!BE33+INPUT!BF33+INPUT!BG33)*B124*B124/12/M124/INPUT!N33,0)</f>
        <v>0</v>
      </c>
      <c r="O124" s="296"/>
    </row>
    <row r="125">
      <c r="A125" s="176">
        <f>INPUT!D34</f>
        <v>101</v>
      </c>
      <c r="B125" s="177">
        <f>INPUT!AM34</f>
        <v>3175</v>
      </c>
      <c r="C125" s="449">
        <f>INPUT!H34*INPUT!I34*INPUT!J34+INPUT!K34*INPUT!L34+INPUT!N34*INPUT!O34*2/COS(ATAN(G125))+INPUT!AD34*INPUT!AE34*INPUT!AF34+INPUT!AG34*INPUT!AH34*INPUT!AI34</f>
        <v>116164.41464770856</v>
      </c>
      <c r="D125" s="177">
        <f>(INPUT!K34-2*INPUT!M34)*INPUT!Q34+INPUT!Q34*INPUT!Q34*G125</f>
        <v>0</v>
      </c>
      <c r="E125" s="450">
        <f>INPUT!R34*INPUT!AA34+2*INPUT!S34*INPUT!T34</f>
        <v>1580500</v>
      </c>
      <c r="F125" s="179">
        <f>(C125*7.85+(D125+E125)*2.5)/10^5/2</f>
        <v>24.315703274922562</v>
      </c>
      <c r="G125" s="178">
        <f>TAN(INPUT!P34)</f>
        <v>0.12565513657513097</v>
      </c>
      <c r="H125" s="179">
        <f>F125*G125*B125^2/12/10^6</f>
        <v>2.5666892684347467</v>
      </c>
      <c r="I125" s="179">
        <f>INPUT!N34/(MAX(INPUT!V34,INPUT!W34,INPUT!X34/2,INPUT!Y34/2)-INPUT!U34/2+G125*INPUT!N34)</f>
        <v>1.2716669438755954</v>
      </c>
      <c r="J125" s="179">
        <f>INPUT!R34*(MAX(INPUT!V34,INPUT!W34,INPUT!X34/2,INPUT!Y34/2)-INPUT!U34/2)/10^6*25</f>
        <v>13.4125</v>
      </c>
      <c r="K125" s="179">
        <f>0.5*J125/I125*B125*B125/12/10^6</f>
        <v>4.4300902142544727</v>
      </c>
      <c r="L125" s="179">
        <f>0.5*$E$77/I125*B125*B125/12/10^6</f>
        <v>0</v>
      </c>
      <c r="M125" s="180">
        <f>INPUT!G34</f>
        <v>0</v>
      </c>
      <c r="N125" s="181">
        <f>IF(M125&gt;0,(INPUT!BE34+INPUT!BF34+INPUT!BG34)*B125*B125/12/M125/INPUT!N34,0)</f>
        <v>0</v>
      </c>
      <c r="O125" s="296"/>
    </row>
    <row r="126">
      <c r="A126" s="176">
        <f>INPUT!D35</f>
        <v>101</v>
      </c>
      <c r="B126" s="177">
        <f>INPUT!AM35</f>
        <v>3175</v>
      </c>
      <c r="C126" s="449">
        <f>INPUT!H35*INPUT!I35*INPUT!J35+INPUT!K35*INPUT!L35+INPUT!N35*INPUT!O35*2/COS(ATAN(G126))+INPUT!AD35*INPUT!AE35*INPUT!AF35+INPUT!AG35*INPUT!AH35*INPUT!AI35</f>
        <v>116164.41464770856</v>
      </c>
      <c r="D126" s="177">
        <f>(INPUT!K35-2*INPUT!M35)*INPUT!Q35+INPUT!Q35*INPUT!Q35*G126</f>
        <v>0</v>
      </c>
      <c r="E126" s="450">
        <f>INPUT!R35*INPUT!AA35+2*INPUT!S35*INPUT!T35</f>
        <v>1580500</v>
      </c>
      <c r="F126" s="179">
        <f>(C126*7.85+(D126+E126)*2.5)/10^5/2</f>
        <v>24.315703274922562</v>
      </c>
      <c r="G126" s="178">
        <f>TAN(INPUT!P35)</f>
        <v>0.12565513657513097</v>
      </c>
      <c r="H126" s="179">
        <f>F126*G126*B126^2/12/10^6</f>
        <v>2.5666892684347467</v>
      </c>
      <c r="I126" s="179">
        <f>INPUT!N35/(MAX(INPUT!V35,INPUT!W35,INPUT!X35/2,INPUT!Y35/2)-INPUT!U35/2+G126*INPUT!N35)</f>
        <v>1.2716669438755954</v>
      </c>
      <c r="J126" s="179">
        <f>INPUT!R35*(MAX(INPUT!V35,INPUT!W35,INPUT!X35/2,INPUT!Y35/2)-INPUT!U35/2)/10^6*25</f>
        <v>13.4125</v>
      </c>
      <c r="K126" s="179">
        <f>0.5*J126/I126*B126*B126/12/10^6</f>
        <v>4.4300902142544727</v>
      </c>
      <c r="L126" s="179">
        <f>0.5*$E$77/I126*B126*B126/12/10^6</f>
        <v>0</v>
      </c>
      <c r="M126" s="180">
        <f>INPUT!G35</f>
        <v>0</v>
      </c>
      <c r="N126" s="181">
        <f>IF(M126&gt;0,(INPUT!BE35+INPUT!BF35+INPUT!BG35)*B126*B126/12/M126/INPUT!N35,0)</f>
        <v>0</v>
      </c>
      <c r="O126" s="296"/>
    </row>
    <row r="127">
      <c r="A127" s="176">
        <f>INPUT!D36</f>
        <v>101</v>
      </c>
      <c r="B127" s="177">
        <f>INPUT!AM36</f>
        <v>3175</v>
      </c>
      <c r="C127" s="449">
        <f>INPUT!H36*INPUT!I36*INPUT!J36+INPUT!K36*INPUT!L36+INPUT!N36*INPUT!O36*2/COS(ATAN(G127))+INPUT!AD36*INPUT!AE36*INPUT!AF36+INPUT!AG36*INPUT!AH36*INPUT!AI36</f>
        <v>116164.41464770856</v>
      </c>
      <c r="D127" s="177">
        <f>(INPUT!K36-2*INPUT!M36)*INPUT!Q36+INPUT!Q36*INPUT!Q36*G127</f>
        <v>0</v>
      </c>
      <c r="E127" s="450">
        <f>INPUT!R36*INPUT!AA36+2*INPUT!S36*INPUT!T36</f>
        <v>1580500</v>
      </c>
      <c r="F127" s="179">
        <f>(C127*7.85+(D127+E127)*2.5)/10^5/2</f>
        <v>24.315703274922562</v>
      </c>
      <c r="G127" s="178">
        <f>TAN(INPUT!P36)</f>
        <v>0.12565513657513097</v>
      </c>
      <c r="H127" s="179">
        <f>F127*G127*B127^2/12/10^6</f>
        <v>2.5666892684347467</v>
      </c>
      <c r="I127" s="179">
        <f>INPUT!N36/(MAX(INPUT!V36,INPUT!W36,INPUT!X36/2,INPUT!Y36/2)-INPUT!U36/2+G127*INPUT!N36)</f>
        <v>1.2716669438755954</v>
      </c>
      <c r="J127" s="179">
        <f>INPUT!R36*(MAX(INPUT!V36,INPUT!W36,INPUT!X36/2,INPUT!Y36/2)-INPUT!U36/2)/10^6*25</f>
        <v>13.4125</v>
      </c>
      <c r="K127" s="179">
        <f>0.5*J127/I127*B127*B127/12/10^6</f>
        <v>4.4300902142544727</v>
      </c>
      <c r="L127" s="179">
        <f>0.5*$E$77/I127*B127*B127/12/10^6</f>
        <v>0</v>
      </c>
      <c r="M127" s="180">
        <f>INPUT!G36</f>
        <v>0</v>
      </c>
      <c r="N127" s="181">
        <f>IF(M127&gt;0,(INPUT!BE36+INPUT!BF36+INPUT!BG36)*B127*B127/12/M127/INPUT!N36,0)</f>
        <v>0</v>
      </c>
      <c r="O127" s="296"/>
    </row>
    <row r="128">
      <c r="A128" s="176">
        <f>INPUT!D37</f>
        <v>101</v>
      </c>
      <c r="B128" s="177">
        <f>INPUT!AM37</f>
        <v>3175</v>
      </c>
      <c r="C128" s="449">
        <f>INPUT!H37*INPUT!I37*INPUT!J37+INPUT!K37*INPUT!L37+INPUT!N37*INPUT!O37*2/COS(ATAN(G128))+INPUT!AD37*INPUT!AE37*INPUT!AF37+INPUT!AG37*INPUT!AH37*INPUT!AI37</f>
        <v>116164.41464770856</v>
      </c>
      <c r="D128" s="177">
        <f>(INPUT!K37-2*INPUT!M37)*INPUT!Q37+INPUT!Q37*INPUT!Q37*G128</f>
        <v>0</v>
      </c>
      <c r="E128" s="450">
        <f>INPUT!R37*INPUT!AA37+2*INPUT!S37*INPUT!T37</f>
        <v>1580500</v>
      </c>
      <c r="F128" s="179">
        <f>(C128*7.85+(D128+E128)*2.5)/10^5/2</f>
        <v>24.315703274922562</v>
      </c>
      <c r="G128" s="178">
        <f>TAN(INPUT!P37)</f>
        <v>0.12565513657513097</v>
      </c>
      <c r="H128" s="179">
        <f>F128*G128*B128^2/12/10^6</f>
        <v>2.5666892684347467</v>
      </c>
      <c r="I128" s="179">
        <f>INPUT!N37/(MAX(INPUT!V37,INPUT!W37,INPUT!X37/2,INPUT!Y37/2)-INPUT!U37/2+G128*INPUT!N37)</f>
        <v>1.2716669438755954</v>
      </c>
      <c r="J128" s="179">
        <f>INPUT!R37*(MAX(INPUT!V37,INPUT!W37,INPUT!X37/2,INPUT!Y37/2)-INPUT!U37/2)/10^6*25</f>
        <v>13.4125</v>
      </c>
      <c r="K128" s="179">
        <f>0.5*J128/I128*B128*B128/12/10^6</f>
        <v>4.4300902142544727</v>
      </c>
      <c r="L128" s="179">
        <f>0.5*$E$77/I128*B128*B128/12/10^6</f>
        <v>0</v>
      </c>
      <c r="M128" s="180">
        <f>INPUT!G37</f>
        <v>0</v>
      </c>
      <c r="N128" s="181">
        <f>IF(M128&gt;0,(INPUT!BE37+INPUT!BF37+INPUT!BG37)*B128*B128/12/M128/INPUT!N37,0)</f>
        <v>0</v>
      </c>
      <c r="O128" s="296"/>
    </row>
    <row r="129">
      <c r="A129" s="176">
        <f>INPUT!D38</f>
        <v>101</v>
      </c>
      <c r="B129" s="177">
        <f>INPUT!AM38</f>
        <v>3175</v>
      </c>
      <c r="C129" s="449">
        <f>INPUT!H38*INPUT!I38*INPUT!J38+INPUT!K38*INPUT!L38+INPUT!N38*INPUT!O38*2/COS(ATAN(G129))+INPUT!AD38*INPUT!AE38*INPUT!AF38+INPUT!AG38*INPUT!AH38*INPUT!AI38</f>
        <v>116164.41464770856</v>
      </c>
      <c r="D129" s="177">
        <f>(INPUT!K38-2*INPUT!M38)*INPUT!Q38+INPUT!Q38*INPUT!Q38*G129</f>
        <v>0</v>
      </c>
      <c r="E129" s="450">
        <f>INPUT!R38*INPUT!AA38+2*INPUT!S38*INPUT!T38</f>
        <v>1580500</v>
      </c>
      <c r="F129" s="179">
        <f>(C129*7.85+(D129+E129)*2.5)/10^5/2</f>
        <v>24.315703274922562</v>
      </c>
      <c r="G129" s="178">
        <f>TAN(INPUT!P38)</f>
        <v>0.12565513657513097</v>
      </c>
      <c r="H129" s="179">
        <f>F129*G129*B129^2/12/10^6</f>
        <v>2.5666892684347467</v>
      </c>
      <c r="I129" s="179">
        <f>INPUT!N38/(MAX(INPUT!V38,INPUT!W38,INPUT!X38/2,INPUT!Y38/2)-INPUT!U38/2+G129*INPUT!N38)</f>
        <v>1.2716669438755954</v>
      </c>
      <c r="J129" s="179">
        <f>INPUT!R38*(MAX(INPUT!V38,INPUT!W38,INPUT!X38/2,INPUT!Y38/2)-INPUT!U38/2)/10^6*25</f>
        <v>13.4125</v>
      </c>
      <c r="K129" s="179">
        <f>0.5*J129/I129*B129*B129/12/10^6</f>
        <v>4.4300902142544727</v>
      </c>
      <c r="L129" s="179">
        <f>0.5*$E$77/I129*B129*B129/12/10^6</f>
        <v>0</v>
      </c>
      <c r="M129" s="180">
        <f>INPUT!G38</f>
        <v>0</v>
      </c>
      <c r="N129" s="181">
        <f>IF(M129&gt;0,(INPUT!BE38+INPUT!BF38+INPUT!BG38)*B129*B129/12/M129/INPUT!N38,0)</f>
        <v>0</v>
      </c>
      <c r="O129" s="296"/>
    </row>
    <row r="130">
      <c r="A130" s="176">
        <f>INPUT!D39</f>
        <v>101</v>
      </c>
      <c r="B130" s="177">
        <f>INPUT!AM39</f>
        <v>3175</v>
      </c>
      <c r="C130" s="449">
        <f>INPUT!H39*INPUT!I39*INPUT!J39+INPUT!K39*INPUT!L39+INPUT!N39*INPUT!O39*2/COS(ATAN(G130))+INPUT!AD39*INPUT!AE39*INPUT!AF39+INPUT!AG39*INPUT!AH39*INPUT!AI39</f>
        <v>116164.41464770856</v>
      </c>
      <c r="D130" s="177">
        <f>(INPUT!K39-2*INPUT!M39)*INPUT!Q39+INPUT!Q39*INPUT!Q39*G130</f>
        <v>0</v>
      </c>
      <c r="E130" s="450">
        <f>INPUT!R39*INPUT!AA39+2*INPUT!S39*INPUT!T39</f>
        <v>1580500</v>
      </c>
      <c r="F130" s="179">
        <f>(C130*7.85+(D130+E130)*2.5)/10^5/2</f>
        <v>24.315703274922562</v>
      </c>
      <c r="G130" s="178">
        <f>TAN(INPUT!P39)</f>
        <v>0.12565513657513097</v>
      </c>
      <c r="H130" s="179">
        <f>F130*G130*B130^2/12/10^6</f>
        <v>2.5666892684347467</v>
      </c>
      <c r="I130" s="179">
        <f>INPUT!N39/(MAX(INPUT!V39,INPUT!W39,INPUT!X39/2,INPUT!Y39/2)-INPUT!U39/2+G130*INPUT!N39)</f>
        <v>1.2716669438755954</v>
      </c>
      <c r="J130" s="179">
        <f>INPUT!R39*(MAX(INPUT!V39,INPUT!W39,INPUT!X39/2,INPUT!Y39/2)-INPUT!U39/2)/10^6*25</f>
        <v>13.4125</v>
      </c>
      <c r="K130" s="179">
        <f>0.5*J130/I130*B130*B130/12/10^6</f>
        <v>4.4300902142544727</v>
      </c>
      <c r="L130" s="179">
        <f>0.5*$E$77/I130*B130*B130/12/10^6</f>
        <v>0</v>
      </c>
      <c r="M130" s="180">
        <f>INPUT!G39</f>
        <v>0</v>
      </c>
      <c r="N130" s="181">
        <f>IF(M130&gt;0,(INPUT!BE39+INPUT!BF39+INPUT!BG39)*B130*B130/12/M130/INPUT!N39,0)</f>
        <v>0</v>
      </c>
      <c r="O130" s="296"/>
    </row>
    <row r="131">
      <c r="A131" s="176">
        <f>INPUT!D40</f>
        <v>101</v>
      </c>
      <c r="B131" s="177">
        <f>INPUT!AM40</f>
        <v>3175</v>
      </c>
      <c r="C131" s="449">
        <f>INPUT!H40*INPUT!I40*INPUT!J40+INPUT!K40*INPUT!L40+INPUT!N40*INPUT!O40*2/COS(ATAN(G131))+INPUT!AD40*INPUT!AE40*INPUT!AF40+INPUT!AG40*INPUT!AH40*INPUT!AI40</f>
        <v>116164.41464770856</v>
      </c>
      <c r="D131" s="177">
        <f>(INPUT!K40-2*INPUT!M40)*INPUT!Q40+INPUT!Q40*INPUT!Q40*G131</f>
        <v>0</v>
      </c>
      <c r="E131" s="450">
        <f>INPUT!R40*INPUT!AA40+2*INPUT!S40*INPUT!T40</f>
        <v>1580500</v>
      </c>
      <c r="F131" s="179">
        <f>(C131*7.85+(D131+E131)*2.5)/10^5/2</f>
        <v>24.315703274922562</v>
      </c>
      <c r="G131" s="178">
        <f>TAN(INPUT!P40)</f>
        <v>0.12565513657513097</v>
      </c>
      <c r="H131" s="179">
        <f>F131*G131*B131^2/12/10^6</f>
        <v>2.5666892684347467</v>
      </c>
      <c r="I131" s="179">
        <f>INPUT!N40/(MAX(INPUT!V40,INPUT!W40,INPUT!X40/2,INPUT!Y40/2)-INPUT!U40/2+G131*INPUT!N40)</f>
        <v>1.2716669438755954</v>
      </c>
      <c r="J131" s="179">
        <f>INPUT!R40*(MAX(INPUT!V40,INPUT!W40,INPUT!X40/2,INPUT!Y40/2)-INPUT!U40/2)/10^6*25</f>
        <v>13.4125</v>
      </c>
      <c r="K131" s="179">
        <f>0.5*J131/I131*B131*B131/12/10^6</f>
        <v>4.4300902142544727</v>
      </c>
      <c r="L131" s="179">
        <f>0.5*$E$77/I131*B131*B131/12/10^6</f>
        <v>0</v>
      </c>
      <c r="M131" s="180">
        <f>INPUT!G40</f>
        <v>0</v>
      </c>
      <c r="N131" s="181">
        <f>IF(M131&gt;0,(INPUT!BE40+INPUT!BF40+INPUT!BG40)*B131*B131/12/M131/INPUT!N40,0)</f>
        <v>0</v>
      </c>
      <c r="O131" s="296"/>
    </row>
    <row r="132">
      <c r="A132" s="176">
        <f>INPUT!D41</f>
        <v>101</v>
      </c>
      <c r="B132" s="177">
        <f>INPUT!AM41</f>
        <v>3175</v>
      </c>
      <c r="C132" s="449">
        <f>INPUT!H41*INPUT!I41*INPUT!J41+INPUT!K41*INPUT!L41+INPUT!N41*INPUT!O41*2/COS(ATAN(G132))+INPUT!AD41*INPUT!AE41*INPUT!AF41+INPUT!AG41*INPUT!AH41*INPUT!AI41</f>
        <v>116164.41464770856</v>
      </c>
      <c r="D132" s="177">
        <f>(INPUT!K41-2*INPUT!M41)*INPUT!Q41+INPUT!Q41*INPUT!Q41*G132</f>
        <v>0</v>
      </c>
      <c r="E132" s="450">
        <f>INPUT!R41*INPUT!AA41+2*INPUT!S41*INPUT!T41</f>
        <v>1580500</v>
      </c>
      <c r="F132" s="179">
        <f>(C132*7.85+(D132+E132)*2.5)/10^5/2</f>
        <v>24.315703274922562</v>
      </c>
      <c r="G132" s="178">
        <f>TAN(INPUT!P41)</f>
        <v>0.12565513657513097</v>
      </c>
      <c r="H132" s="179">
        <f>F132*G132*B132^2/12/10^6</f>
        <v>2.5666892684347467</v>
      </c>
      <c r="I132" s="179">
        <f>INPUT!N41/(MAX(INPUT!V41,INPUT!W41,INPUT!X41/2,INPUT!Y41/2)-INPUT!U41/2+G132*INPUT!N41)</f>
        <v>1.2716669438755954</v>
      </c>
      <c r="J132" s="179">
        <f>INPUT!R41*(MAX(INPUT!V41,INPUT!W41,INPUT!X41/2,INPUT!Y41/2)-INPUT!U41/2)/10^6*25</f>
        <v>13.4125</v>
      </c>
      <c r="K132" s="179">
        <f>0.5*J132/I132*B132*B132/12/10^6</f>
        <v>4.4300902142544727</v>
      </c>
      <c r="L132" s="179">
        <f>0.5*$E$77/I132*B132*B132/12/10^6</f>
        <v>0</v>
      </c>
      <c r="M132" s="180">
        <f>INPUT!G41</f>
        <v>0</v>
      </c>
      <c r="N132" s="181">
        <f>IF(M132&gt;0,(INPUT!BE41+INPUT!BF41+INPUT!BG41)*B132*B132/12/M132/INPUT!N41,0)</f>
        <v>0</v>
      </c>
      <c r="O132" s="296"/>
    </row>
    <row r="133">
      <c r="A133" s="176">
        <f>INPUT!D42</f>
        <v>101</v>
      </c>
      <c r="B133" s="177">
        <f>INPUT!AM42</f>
        <v>3175</v>
      </c>
      <c r="C133" s="449">
        <f>INPUT!H42*INPUT!I42*INPUT!J42+INPUT!K42*INPUT!L42+INPUT!N42*INPUT!O42*2/COS(ATAN(G133))+INPUT!AD42*INPUT!AE42*INPUT!AF42+INPUT!AG42*INPUT!AH42*INPUT!AI42</f>
        <v>116164.41464770856</v>
      </c>
      <c r="D133" s="177">
        <f>(INPUT!K42-2*INPUT!M42)*INPUT!Q42+INPUT!Q42*INPUT!Q42*G133</f>
        <v>0</v>
      </c>
      <c r="E133" s="450">
        <f>INPUT!R42*INPUT!AA42+2*INPUT!S42*INPUT!T42</f>
        <v>1580500</v>
      </c>
      <c r="F133" s="179">
        <f>(C133*7.85+(D133+E133)*2.5)/10^5/2</f>
        <v>24.315703274922562</v>
      </c>
      <c r="G133" s="178">
        <f>TAN(INPUT!P42)</f>
        <v>0.12565513657513097</v>
      </c>
      <c r="H133" s="179">
        <f>F133*G133*B133^2/12/10^6</f>
        <v>2.5666892684347467</v>
      </c>
      <c r="I133" s="179">
        <f>INPUT!N42/(MAX(INPUT!V42,INPUT!W42,INPUT!X42/2,INPUT!Y42/2)-INPUT!U42/2+G133*INPUT!N42)</f>
        <v>1.2716669438755954</v>
      </c>
      <c r="J133" s="179">
        <f>INPUT!R42*(MAX(INPUT!V42,INPUT!W42,INPUT!X42/2,INPUT!Y42/2)-INPUT!U42/2)/10^6*25</f>
        <v>13.4125</v>
      </c>
      <c r="K133" s="179">
        <f>0.5*J133/I133*B133*B133/12/10^6</f>
        <v>4.4300902142544727</v>
      </c>
      <c r="L133" s="179">
        <f>0.5*$E$77/I133*B133*B133/12/10^6</f>
        <v>0</v>
      </c>
      <c r="M133" s="180">
        <f>INPUT!G42</f>
        <v>0</v>
      </c>
      <c r="N133" s="181">
        <f>IF(M133&gt;0,(INPUT!BE42+INPUT!BF42+INPUT!BG42)*B133*B133/12/M133/INPUT!N42,0)</f>
        <v>0</v>
      </c>
      <c r="O133" s="296"/>
    </row>
    <row r="134">
      <c r="A134" s="176">
        <f>INPUT!D43</f>
        <v>101</v>
      </c>
      <c r="B134" s="177">
        <f>INPUT!AM43</f>
        <v>3175</v>
      </c>
      <c r="C134" s="449">
        <f>INPUT!H43*INPUT!I43*INPUT!J43+INPUT!K43*INPUT!L43+INPUT!N43*INPUT!O43*2/COS(ATAN(G134))+INPUT!AD43*INPUT!AE43*INPUT!AF43+INPUT!AG43*INPUT!AH43*INPUT!AI43</f>
        <v>116164.41464770856</v>
      </c>
      <c r="D134" s="177">
        <f>(INPUT!K43-2*INPUT!M43)*INPUT!Q43+INPUT!Q43*INPUT!Q43*G134</f>
        <v>0</v>
      </c>
      <c r="E134" s="450">
        <f>INPUT!R43*INPUT!AA43+2*INPUT!S43*INPUT!T43</f>
        <v>1580500</v>
      </c>
      <c r="F134" s="179">
        <f>(C134*7.85+(D134+E134)*2.5)/10^5/2</f>
        <v>24.315703274922562</v>
      </c>
      <c r="G134" s="178">
        <f>TAN(INPUT!P43)</f>
        <v>0.12565513657513097</v>
      </c>
      <c r="H134" s="179">
        <f>F134*G134*B134^2/12/10^6</f>
        <v>2.5666892684347467</v>
      </c>
      <c r="I134" s="179">
        <f>INPUT!N43/(MAX(INPUT!V43,INPUT!W43,INPUT!X43/2,INPUT!Y43/2)-INPUT!U43/2+G134*INPUT!N43)</f>
        <v>1.2716669438755954</v>
      </c>
      <c r="J134" s="179">
        <f>INPUT!R43*(MAX(INPUT!V43,INPUT!W43,INPUT!X43/2,INPUT!Y43/2)-INPUT!U43/2)/10^6*25</f>
        <v>13.4125</v>
      </c>
      <c r="K134" s="179">
        <f>0.5*J134/I134*B134*B134/12/10^6</f>
        <v>4.4300902142544727</v>
      </c>
      <c r="L134" s="179">
        <f>0.5*$E$77/I134*B134*B134/12/10^6</f>
        <v>0</v>
      </c>
      <c r="M134" s="180">
        <f>INPUT!G43</f>
        <v>0</v>
      </c>
      <c r="N134" s="181">
        <f>IF(M134&gt;0,(INPUT!BE43+INPUT!BF43+INPUT!BG43)*B134*B134/12/M134/INPUT!N43,0)</f>
        <v>0</v>
      </c>
      <c r="O134" s="296"/>
    </row>
    <row r="135">
      <c r="A135" s="176">
        <f>INPUT!D44</f>
        <v>101</v>
      </c>
      <c r="B135" s="177">
        <f>INPUT!AM44</f>
        <v>3175</v>
      </c>
      <c r="C135" s="449">
        <f>INPUT!H44*INPUT!I44*INPUT!J44+INPUT!K44*INPUT!L44+INPUT!N44*INPUT!O44*2/COS(ATAN(G135))+INPUT!AD44*INPUT!AE44*INPUT!AF44+INPUT!AG44*INPUT!AH44*INPUT!AI44</f>
        <v>116164.41464770856</v>
      </c>
      <c r="D135" s="177">
        <f>(INPUT!K44-2*INPUT!M44)*INPUT!Q44+INPUT!Q44*INPUT!Q44*G135</f>
        <v>0</v>
      </c>
      <c r="E135" s="450">
        <f>INPUT!R44*INPUT!AA44+2*INPUT!S44*INPUT!T44</f>
        <v>1580500</v>
      </c>
      <c r="F135" s="179">
        <f>(C135*7.85+(D135+E135)*2.5)/10^5/2</f>
        <v>24.315703274922562</v>
      </c>
      <c r="G135" s="178">
        <f>TAN(INPUT!P44)</f>
        <v>0.12565513657513097</v>
      </c>
      <c r="H135" s="179">
        <f>F135*G135*B135^2/12/10^6</f>
        <v>2.5666892684347467</v>
      </c>
      <c r="I135" s="179">
        <f>INPUT!N44/(MAX(INPUT!V44,INPUT!W44,INPUT!X44/2,INPUT!Y44/2)-INPUT!U44/2+G135*INPUT!N44)</f>
        <v>1.2716669438755954</v>
      </c>
      <c r="J135" s="179">
        <f>INPUT!R44*(MAX(INPUT!V44,INPUT!W44,INPUT!X44/2,INPUT!Y44/2)-INPUT!U44/2)/10^6*25</f>
        <v>13.4125</v>
      </c>
      <c r="K135" s="179">
        <f>0.5*J135/I135*B135*B135/12/10^6</f>
        <v>4.4300902142544727</v>
      </c>
      <c r="L135" s="179">
        <f>0.5*$E$77/I135*B135*B135/12/10^6</f>
        <v>0</v>
      </c>
      <c r="M135" s="180">
        <f>INPUT!G44</f>
        <v>0</v>
      </c>
      <c r="N135" s="181">
        <f>IF(M135&gt;0,(INPUT!BE44+INPUT!BF44+INPUT!BG44)*B135*B135/12/M135/INPUT!N44,0)</f>
        <v>0</v>
      </c>
      <c r="O135" s="296"/>
    </row>
    <row r="136">
      <c r="A136" s="176">
        <f>INPUT!D45</f>
        <v>101</v>
      </c>
      <c r="B136" s="177">
        <f>INPUT!AM45</f>
        <v>3175</v>
      </c>
      <c r="C136" s="449">
        <f>INPUT!H45*INPUT!I45*INPUT!J45+INPUT!K45*INPUT!L45+INPUT!N45*INPUT!O45*2/COS(ATAN(G136))+INPUT!AD45*INPUT!AE45*INPUT!AF45+INPUT!AG45*INPUT!AH45*INPUT!AI45</f>
        <v>116164.41464770856</v>
      </c>
      <c r="D136" s="177">
        <f>(INPUT!K45-2*INPUT!M45)*INPUT!Q45+INPUT!Q45*INPUT!Q45*G136</f>
        <v>0</v>
      </c>
      <c r="E136" s="450">
        <f>INPUT!R45*INPUT!AA45+2*INPUT!S45*INPUT!T45</f>
        <v>1580500</v>
      </c>
      <c r="F136" s="179">
        <f>(C136*7.85+(D136+E136)*2.5)/10^5/2</f>
        <v>24.315703274922562</v>
      </c>
      <c r="G136" s="178">
        <f>TAN(INPUT!P45)</f>
        <v>0.12565513657513097</v>
      </c>
      <c r="H136" s="179">
        <f>F136*G136*B136^2/12/10^6</f>
        <v>2.5666892684347467</v>
      </c>
      <c r="I136" s="179">
        <f>INPUT!N45/(MAX(INPUT!V45,INPUT!W45,INPUT!X45/2,INPUT!Y45/2)-INPUT!U45/2+G136*INPUT!N45)</f>
        <v>1.2716669438755954</v>
      </c>
      <c r="J136" s="179">
        <f>INPUT!R45*(MAX(INPUT!V45,INPUT!W45,INPUT!X45/2,INPUT!Y45/2)-INPUT!U45/2)/10^6*25</f>
        <v>13.4125</v>
      </c>
      <c r="K136" s="179">
        <f>0.5*J136/I136*B136*B136/12/10^6</f>
        <v>4.4300902142544727</v>
      </c>
      <c r="L136" s="179">
        <f>0.5*$E$77/I136*B136*B136/12/10^6</f>
        <v>0</v>
      </c>
      <c r="M136" s="180">
        <f>INPUT!G45</f>
        <v>0</v>
      </c>
      <c r="N136" s="181">
        <f>IF(M136&gt;0,(INPUT!BE45+INPUT!BF45+INPUT!BG45)*B136*B136/12/M136/INPUT!N45,0)</f>
        <v>0</v>
      </c>
      <c r="O136" s="296"/>
    </row>
    <row r="137">
      <c r="A137" s="176">
        <f>INPUT!D46</f>
        <v>101</v>
      </c>
      <c r="B137" s="177">
        <f>INPUT!AM46</f>
        <v>3175</v>
      </c>
      <c r="C137" s="449">
        <f>INPUT!H46*INPUT!I46*INPUT!J46+INPUT!K46*INPUT!L46+INPUT!N46*INPUT!O46*2/COS(ATAN(G137))+INPUT!AD46*INPUT!AE46*INPUT!AF46+INPUT!AG46*INPUT!AH46*INPUT!AI46</f>
        <v>116164.41464770856</v>
      </c>
      <c r="D137" s="177">
        <f>(INPUT!K46-2*INPUT!M46)*INPUT!Q46+INPUT!Q46*INPUT!Q46*G137</f>
        <v>0</v>
      </c>
      <c r="E137" s="450">
        <f>INPUT!R46*INPUT!AA46+2*INPUT!S46*INPUT!T46</f>
        <v>1580500</v>
      </c>
      <c r="F137" s="179">
        <f>(C137*7.85+(D137+E137)*2.5)/10^5/2</f>
        <v>24.315703274922562</v>
      </c>
      <c r="G137" s="178">
        <f>TAN(INPUT!P46)</f>
        <v>0.12565513657513097</v>
      </c>
      <c r="H137" s="179">
        <f>F137*G137*B137^2/12/10^6</f>
        <v>2.5666892684347467</v>
      </c>
      <c r="I137" s="179">
        <f>INPUT!N46/(MAX(INPUT!V46,INPUT!W46,INPUT!X46/2,INPUT!Y46/2)-INPUT!U46/2+G137*INPUT!N46)</f>
        <v>1.2716669438755954</v>
      </c>
      <c r="J137" s="179">
        <f>INPUT!R46*(MAX(INPUT!V46,INPUT!W46,INPUT!X46/2,INPUT!Y46/2)-INPUT!U46/2)/10^6*25</f>
        <v>13.4125</v>
      </c>
      <c r="K137" s="179">
        <f>0.5*J137/I137*B137*B137/12/10^6</f>
        <v>4.4300902142544727</v>
      </c>
      <c r="L137" s="179">
        <f>0.5*$E$77/I137*B137*B137/12/10^6</f>
        <v>0</v>
      </c>
      <c r="M137" s="180">
        <f>INPUT!G46</f>
        <v>0</v>
      </c>
      <c r="N137" s="181">
        <f>IF(M137&gt;0,(INPUT!BE46+INPUT!BF46+INPUT!BG46)*B137*B137/12/M137/INPUT!N46,0)</f>
        <v>0</v>
      </c>
      <c r="O137" s="296"/>
    </row>
    <row r="138">
      <c r="A138" s="176">
        <f>INPUT!D47</f>
        <v>101</v>
      </c>
      <c r="B138" s="177">
        <f>INPUT!AM47</f>
        <v>3175</v>
      </c>
      <c r="C138" s="449">
        <f>INPUT!H47*INPUT!I47*INPUT!J47+INPUT!K47*INPUT!L47+INPUT!N47*INPUT!O47*2/COS(ATAN(G138))+INPUT!AD47*INPUT!AE47*INPUT!AF47+INPUT!AG47*INPUT!AH47*INPUT!AI47</f>
        <v>116164.41464770856</v>
      </c>
      <c r="D138" s="177">
        <f>(INPUT!K47-2*INPUT!M47)*INPUT!Q47+INPUT!Q47*INPUT!Q47*G138</f>
        <v>0</v>
      </c>
      <c r="E138" s="450">
        <f>INPUT!R47*INPUT!AA47+2*INPUT!S47*INPUT!T47</f>
        <v>1580500</v>
      </c>
      <c r="F138" s="179">
        <f>(C138*7.85+(D138+E138)*2.5)/10^5/2</f>
        <v>24.315703274922562</v>
      </c>
      <c r="G138" s="178">
        <f>TAN(INPUT!P47)</f>
        <v>0.12565513657513097</v>
      </c>
      <c r="H138" s="179">
        <f>F138*G138*B138^2/12/10^6</f>
        <v>2.5666892684347467</v>
      </c>
      <c r="I138" s="179">
        <f>INPUT!N47/(MAX(INPUT!V47,INPUT!W47,INPUT!X47/2,INPUT!Y47/2)-INPUT!U47/2+G138*INPUT!N47)</f>
        <v>1.2716669438755954</v>
      </c>
      <c r="J138" s="179">
        <f>INPUT!R47*(MAX(INPUT!V47,INPUT!W47,INPUT!X47/2,INPUT!Y47/2)-INPUT!U47/2)/10^6*25</f>
        <v>13.4125</v>
      </c>
      <c r="K138" s="179">
        <f>0.5*J138/I138*B138*B138/12/10^6</f>
        <v>4.4300902142544727</v>
      </c>
      <c r="L138" s="179">
        <f>0.5*$E$77/I138*B138*B138/12/10^6</f>
        <v>0</v>
      </c>
      <c r="M138" s="180">
        <f>INPUT!G47</f>
        <v>0</v>
      </c>
      <c r="N138" s="181">
        <f>IF(M138&gt;0,(INPUT!BE47+INPUT!BF47+INPUT!BG47)*B138*B138/12/M138/INPUT!N47,0)</f>
        <v>0</v>
      </c>
      <c r="O138" s="296"/>
    </row>
    <row r="139">
      <c r="A139" s="176">
        <f>INPUT!D48</f>
        <v>101</v>
      </c>
      <c r="B139" s="177">
        <f>INPUT!AM48</f>
        <v>3175</v>
      </c>
      <c r="C139" s="449">
        <f>INPUT!H48*INPUT!I48*INPUT!J48+INPUT!K48*INPUT!L48+INPUT!N48*INPUT!O48*2/COS(ATAN(G139))+INPUT!AD48*INPUT!AE48*INPUT!AF48+INPUT!AG48*INPUT!AH48*INPUT!AI48</f>
        <v>116164.41464770856</v>
      </c>
      <c r="D139" s="177">
        <f>(INPUT!K48-2*INPUT!M48)*INPUT!Q48+INPUT!Q48*INPUT!Q48*G139</f>
        <v>0</v>
      </c>
      <c r="E139" s="450">
        <f>INPUT!R48*INPUT!AA48+2*INPUT!S48*INPUT!T48</f>
        <v>1580500</v>
      </c>
      <c r="F139" s="179">
        <f>(C139*7.85+(D139+E139)*2.5)/10^5/2</f>
        <v>24.315703274922562</v>
      </c>
      <c r="G139" s="178">
        <f>TAN(INPUT!P48)</f>
        <v>0.12565513657513097</v>
      </c>
      <c r="H139" s="179">
        <f>F139*G139*B139^2/12/10^6</f>
        <v>2.5666892684347467</v>
      </c>
      <c r="I139" s="179">
        <f>INPUT!N48/(MAX(INPUT!V48,INPUT!W48,INPUT!X48/2,INPUT!Y48/2)-INPUT!U48/2+G139*INPUT!N48)</f>
        <v>1.2716669438755954</v>
      </c>
      <c r="J139" s="179">
        <f>INPUT!R48*(MAX(INPUT!V48,INPUT!W48,INPUT!X48/2,INPUT!Y48/2)-INPUT!U48/2)/10^6*25</f>
        <v>13.4125</v>
      </c>
      <c r="K139" s="179">
        <f>0.5*J139/I139*B139*B139/12/10^6</f>
        <v>4.4300902142544727</v>
      </c>
      <c r="L139" s="179">
        <f>0.5*$E$77/I139*B139*B139/12/10^6</f>
        <v>0</v>
      </c>
      <c r="M139" s="180">
        <f>INPUT!G48</f>
        <v>0</v>
      </c>
      <c r="N139" s="181">
        <f>IF(M139&gt;0,(INPUT!BE48+INPUT!BF48+INPUT!BG48)*B139*B139/12/M139/INPUT!N48,0)</f>
        <v>0</v>
      </c>
      <c r="O139" s="296"/>
    </row>
    <row r="140">
      <c r="A140" s="176">
        <f>INPUT!D49</f>
        <v>101</v>
      </c>
      <c r="B140" s="177">
        <f>INPUT!AM49</f>
        <v>3175</v>
      </c>
      <c r="C140" s="449">
        <f>INPUT!H49*INPUT!I49*INPUT!J49+INPUT!K49*INPUT!L49+INPUT!N49*INPUT!O49*2/COS(ATAN(G140))+INPUT!AD49*INPUT!AE49*INPUT!AF49+INPUT!AG49*INPUT!AH49*INPUT!AI49</f>
        <v>116164.41464770856</v>
      </c>
      <c r="D140" s="177">
        <f>(INPUT!K49-2*INPUT!M49)*INPUT!Q49+INPUT!Q49*INPUT!Q49*G140</f>
        <v>0</v>
      </c>
      <c r="E140" s="450">
        <f>INPUT!R49*INPUT!AA49+2*INPUT!S49*INPUT!T49</f>
        <v>1580500</v>
      </c>
      <c r="F140" s="179">
        <f>(C140*7.85+(D140+E140)*2.5)/10^5/2</f>
        <v>24.315703274922562</v>
      </c>
      <c r="G140" s="178">
        <f>TAN(INPUT!P49)</f>
        <v>0.12565513657513097</v>
      </c>
      <c r="H140" s="179">
        <f>F140*G140*B140^2/12/10^6</f>
        <v>2.5666892684347467</v>
      </c>
      <c r="I140" s="179">
        <f>INPUT!N49/(MAX(INPUT!V49,INPUT!W49,INPUT!X49/2,INPUT!Y49/2)-INPUT!U49/2+G140*INPUT!N49)</f>
        <v>1.2716669438755954</v>
      </c>
      <c r="J140" s="179">
        <f>INPUT!R49*(MAX(INPUT!V49,INPUT!W49,INPUT!X49/2,INPUT!Y49/2)-INPUT!U49/2)/10^6*25</f>
        <v>13.4125</v>
      </c>
      <c r="K140" s="179">
        <f>0.5*J140/I140*B140*B140/12/10^6</f>
        <v>4.4300902142544727</v>
      </c>
      <c r="L140" s="179">
        <f>0.5*$E$77/I140*B140*B140/12/10^6</f>
        <v>0</v>
      </c>
      <c r="M140" s="180">
        <f>INPUT!G49</f>
        <v>0</v>
      </c>
      <c r="N140" s="181">
        <f>IF(M140&gt;0,(INPUT!BE49+INPUT!BF49+INPUT!BG49)*B140*B140/12/M140/INPUT!N49,0)</f>
        <v>0</v>
      </c>
      <c r="O140" s="296"/>
    </row>
    <row r="141">
      <c r="A141" s="176">
        <f>INPUT!D50</f>
        <v>101</v>
      </c>
      <c r="B141" s="177">
        <f>INPUT!AM50</f>
        <v>3175</v>
      </c>
      <c r="C141" s="449">
        <f>INPUT!H50*INPUT!I50*INPUT!J50+INPUT!K50*INPUT!L50+INPUT!N50*INPUT!O50*2/COS(ATAN(G141))+INPUT!AD50*INPUT!AE50*INPUT!AF50+INPUT!AG50*INPUT!AH50*INPUT!AI50</f>
        <v>116164.41464770856</v>
      </c>
      <c r="D141" s="177">
        <f>(INPUT!K50-2*INPUT!M50)*INPUT!Q50+INPUT!Q50*INPUT!Q50*G141</f>
        <v>0</v>
      </c>
      <c r="E141" s="450">
        <f>INPUT!R50*INPUT!AA50+2*INPUT!S50*INPUT!T50</f>
        <v>1580500</v>
      </c>
      <c r="F141" s="179">
        <f>(C141*7.85+(D141+E141)*2.5)/10^5/2</f>
        <v>24.315703274922562</v>
      </c>
      <c r="G141" s="178">
        <f>TAN(INPUT!P50)</f>
        <v>0.12565513657513097</v>
      </c>
      <c r="H141" s="179">
        <f>F141*G141*B141^2/12/10^6</f>
        <v>2.5666892684347467</v>
      </c>
      <c r="I141" s="179">
        <f>INPUT!N50/(MAX(INPUT!V50,INPUT!W50,INPUT!X50/2,INPUT!Y50/2)-INPUT!U50/2+G141*INPUT!N50)</f>
        <v>1.2716669438755954</v>
      </c>
      <c r="J141" s="179">
        <f>INPUT!R50*(MAX(INPUT!V50,INPUT!W50,INPUT!X50/2,INPUT!Y50/2)-INPUT!U50/2)/10^6*25</f>
        <v>13.4125</v>
      </c>
      <c r="K141" s="179">
        <f>0.5*J141/I141*B141*B141/12/10^6</f>
        <v>4.4300902142544727</v>
      </c>
      <c r="L141" s="179">
        <f>0.5*$E$77/I141*B141*B141/12/10^6</f>
        <v>0</v>
      </c>
      <c r="M141" s="180">
        <f>INPUT!G50</f>
        <v>0</v>
      </c>
      <c r="N141" s="181">
        <f>IF(M141&gt;0,(INPUT!BE50+INPUT!BF50+INPUT!BG50)*B141*B141/12/M141/INPUT!N50,0)</f>
        <v>0</v>
      </c>
      <c r="O141" s="296"/>
    </row>
    <row r="142">
      <c r="A142" s="176">
        <f>INPUT!D51</f>
        <v>101</v>
      </c>
      <c r="B142" s="177">
        <f>INPUT!AM51</f>
        <v>3175</v>
      </c>
      <c r="C142" s="449">
        <f>INPUT!H51*INPUT!I51*INPUT!J51+INPUT!K51*INPUT!L51+INPUT!N51*INPUT!O51*2/COS(ATAN(G142))+INPUT!AD51*INPUT!AE51*INPUT!AF51+INPUT!AG51*INPUT!AH51*INPUT!AI51</f>
        <v>116164.41464770856</v>
      </c>
      <c r="D142" s="177">
        <f>(INPUT!K51-2*INPUT!M51)*INPUT!Q51+INPUT!Q51*INPUT!Q51*G142</f>
        <v>0</v>
      </c>
      <c r="E142" s="450">
        <f>INPUT!R51*INPUT!AA51+2*INPUT!S51*INPUT!T51</f>
        <v>1580500</v>
      </c>
      <c r="F142" s="179">
        <f>(C142*7.85+(D142+E142)*2.5)/10^5/2</f>
        <v>24.315703274922562</v>
      </c>
      <c r="G142" s="178">
        <f>TAN(INPUT!P51)</f>
        <v>0.12565513657513097</v>
      </c>
      <c r="H142" s="179">
        <f>F142*G142*B142^2/12/10^6</f>
        <v>2.5666892684347467</v>
      </c>
      <c r="I142" s="179">
        <f>INPUT!N51/(MAX(INPUT!V51,INPUT!W51,INPUT!X51/2,INPUT!Y51/2)-INPUT!U51/2+G142*INPUT!N51)</f>
        <v>1.2716669438755954</v>
      </c>
      <c r="J142" s="179">
        <f>INPUT!R51*(MAX(INPUT!V51,INPUT!W51,INPUT!X51/2,INPUT!Y51/2)-INPUT!U51/2)/10^6*25</f>
        <v>13.4125</v>
      </c>
      <c r="K142" s="179">
        <f>0.5*J142/I142*B142*B142/12/10^6</f>
        <v>4.4300902142544727</v>
      </c>
      <c r="L142" s="179">
        <f>0.5*$E$77/I142*B142*B142/12/10^6</f>
        <v>0</v>
      </c>
      <c r="M142" s="180">
        <f>INPUT!G51</f>
        <v>0</v>
      </c>
      <c r="N142" s="181">
        <f>IF(M142&gt;0,(INPUT!BE51+INPUT!BF51+INPUT!BG51)*B142*B142/12/M142/INPUT!N51,0)</f>
        <v>0</v>
      </c>
      <c r="O142" s="296"/>
    </row>
    <row r="143">
      <c r="A143" s="176">
        <f>INPUT!D52</f>
        <v>101</v>
      </c>
      <c r="B143" s="177">
        <f>INPUT!AM52</f>
        <v>3175</v>
      </c>
      <c r="C143" s="449">
        <f>INPUT!H52*INPUT!I52*INPUT!J52+INPUT!K52*INPUT!L52+INPUT!N52*INPUT!O52*2/COS(ATAN(G143))+INPUT!AD52*INPUT!AE52*INPUT!AF52+INPUT!AG52*INPUT!AH52*INPUT!AI52</f>
        <v>116164.41464770856</v>
      </c>
      <c r="D143" s="177">
        <f>(INPUT!K52-2*INPUT!M52)*INPUT!Q52+INPUT!Q52*INPUT!Q52*G143</f>
        <v>0</v>
      </c>
      <c r="E143" s="450">
        <f>INPUT!R52*INPUT!AA52+2*INPUT!S52*INPUT!T52</f>
        <v>1580500</v>
      </c>
      <c r="F143" s="179">
        <f>(C143*7.85+(D143+E143)*2.5)/10^5/2</f>
        <v>24.315703274922562</v>
      </c>
      <c r="G143" s="178">
        <f>TAN(INPUT!P52)</f>
        <v>0.12565513657513097</v>
      </c>
      <c r="H143" s="179">
        <f>F143*G143*B143^2/12/10^6</f>
        <v>2.5666892684347467</v>
      </c>
      <c r="I143" s="179">
        <f>INPUT!N52/(MAX(INPUT!V52,INPUT!W52,INPUT!X52/2,INPUT!Y52/2)-INPUT!U52/2+G143*INPUT!N52)</f>
        <v>1.2716669438755954</v>
      </c>
      <c r="J143" s="179">
        <f>INPUT!R52*(MAX(INPUT!V52,INPUT!W52,INPUT!X52/2,INPUT!Y52/2)-INPUT!U52/2)/10^6*25</f>
        <v>13.4125</v>
      </c>
      <c r="K143" s="179">
        <f>0.5*J143/I143*B143*B143/12/10^6</f>
        <v>4.4300902142544727</v>
      </c>
      <c r="L143" s="179">
        <f>0.5*$E$77/I143*B143*B143/12/10^6</f>
        <v>0</v>
      </c>
      <c r="M143" s="180">
        <f>INPUT!G52</f>
        <v>0</v>
      </c>
      <c r="N143" s="181">
        <f>IF(M143&gt;0,(INPUT!BE52+INPUT!BF52+INPUT!BG52)*B143*B143/12/M143/INPUT!N52,0)</f>
        <v>0</v>
      </c>
      <c r="O143" s="296"/>
    </row>
    <row r="144">
      <c r="A144" s="176">
        <f>INPUT!D53</f>
        <v>101</v>
      </c>
      <c r="B144" s="177">
        <f>INPUT!AM53</f>
        <v>3175</v>
      </c>
      <c r="C144" s="449">
        <f>INPUT!H53*INPUT!I53*INPUT!J53+INPUT!K53*INPUT!L53+INPUT!N53*INPUT!O53*2/COS(ATAN(G144))+INPUT!AD53*INPUT!AE53*INPUT!AF53+INPUT!AG53*INPUT!AH53*INPUT!AI53</f>
        <v>116164.41464770856</v>
      </c>
      <c r="D144" s="177">
        <f>(INPUT!K53-2*INPUT!M53)*INPUT!Q53+INPUT!Q53*INPUT!Q53*G144</f>
        <v>0</v>
      </c>
      <c r="E144" s="450">
        <f>INPUT!R53*INPUT!AA53+2*INPUT!S53*INPUT!T53</f>
        <v>1580500</v>
      </c>
      <c r="F144" s="179">
        <f>(C144*7.85+(D144+E144)*2.5)/10^5/2</f>
        <v>24.315703274922562</v>
      </c>
      <c r="G144" s="178">
        <f>TAN(INPUT!P53)</f>
        <v>0.12565513657513097</v>
      </c>
      <c r="H144" s="179">
        <f>F144*G144*B144^2/12/10^6</f>
        <v>2.5666892684347467</v>
      </c>
      <c r="I144" s="179">
        <f>INPUT!N53/(MAX(INPUT!V53,INPUT!W53,INPUT!X53/2,INPUT!Y53/2)-INPUT!U53/2+G144*INPUT!N53)</f>
        <v>1.2716669438755954</v>
      </c>
      <c r="J144" s="179">
        <f>INPUT!R53*(MAX(INPUT!V53,INPUT!W53,INPUT!X53/2,INPUT!Y53/2)-INPUT!U53/2)/10^6*25</f>
        <v>13.4125</v>
      </c>
      <c r="K144" s="179">
        <f>0.5*J144/I144*B144*B144/12/10^6</f>
        <v>4.4300902142544727</v>
      </c>
      <c r="L144" s="179">
        <f>0.5*$E$77/I144*B144*B144/12/10^6</f>
        <v>0</v>
      </c>
      <c r="M144" s="180">
        <f>INPUT!G53</f>
        <v>0</v>
      </c>
      <c r="N144" s="181">
        <f>IF(M144&gt;0,(INPUT!BE53+INPUT!BF53+INPUT!BG53)*B144*B144/12/M144/INPUT!N53,0)</f>
        <v>0</v>
      </c>
      <c r="O144" s="296"/>
    </row>
    <row r="145">
      <c r="A145" s="176">
        <f>INPUT!D54</f>
        <v>101</v>
      </c>
      <c r="B145" s="177">
        <f>INPUT!AM54</f>
        <v>3175</v>
      </c>
      <c r="C145" s="449">
        <f>INPUT!H54*INPUT!I54*INPUT!J54+INPUT!K54*INPUT!L54+INPUT!N54*INPUT!O54*2/COS(ATAN(G145))+INPUT!AD54*INPUT!AE54*INPUT!AF54+INPUT!AG54*INPUT!AH54*INPUT!AI54</f>
        <v>116164.41464770856</v>
      </c>
      <c r="D145" s="177">
        <f>(INPUT!K54-2*INPUT!M54)*INPUT!Q54+INPUT!Q54*INPUT!Q54*G145</f>
        <v>0</v>
      </c>
      <c r="E145" s="450">
        <f>INPUT!R54*INPUT!AA54+2*INPUT!S54*INPUT!T54</f>
        <v>1580500</v>
      </c>
      <c r="F145" s="179">
        <f>(C145*7.85+(D145+E145)*2.5)/10^5/2</f>
        <v>24.315703274922562</v>
      </c>
      <c r="G145" s="178">
        <f>TAN(INPUT!P54)</f>
        <v>0.12565513657513097</v>
      </c>
      <c r="H145" s="179">
        <f>F145*G145*B145^2/12/10^6</f>
        <v>2.5666892684347467</v>
      </c>
      <c r="I145" s="179">
        <f>INPUT!N54/(MAX(INPUT!V54,INPUT!W54,INPUT!X54/2,INPUT!Y54/2)-INPUT!U54/2+G145*INPUT!N54)</f>
        <v>1.2716669438755954</v>
      </c>
      <c r="J145" s="179">
        <f>INPUT!R54*(MAX(INPUT!V54,INPUT!W54,INPUT!X54/2,INPUT!Y54/2)-INPUT!U54/2)/10^6*25</f>
        <v>13.4125</v>
      </c>
      <c r="K145" s="179">
        <f>0.5*J145/I145*B145*B145/12/10^6</f>
        <v>4.4300902142544727</v>
      </c>
      <c r="L145" s="179">
        <f>0.5*$E$77/I145*B145*B145/12/10^6</f>
        <v>0</v>
      </c>
      <c r="M145" s="180">
        <f>INPUT!G54</f>
        <v>0</v>
      </c>
      <c r="N145" s="181">
        <f>IF(M145&gt;0,(INPUT!BE54+INPUT!BF54+INPUT!BG54)*B145*B145/12/M145/INPUT!N54,0)</f>
        <v>0</v>
      </c>
      <c r="O145" s="296"/>
    </row>
    <row r="146">
      <c r="A146" s="176">
        <f>INPUT!D55</f>
        <v>101</v>
      </c>
      <c r="B146" s="177">
        <f>INPUT!AM55</f>
        <v>3175</v>
      </c>
      <c r="C146" s="449">
        <f>INPUT!H55*INPUT!I55*INPUT!J55+INPUT!K55*INPUT!L55+INPUT!N55*INPUT!O55*2/COS(ATAN(G146))+INPUT!AD55*INPUT!AE55*INPUT!AF55+INPUT!AG55*INPUT!AH55*INPUT!AI55</f>
        <v>116164.41464770856</v>
      </c>
      <c r="D146" s="177">
        <f>(INPUT!K55-2*INPUT!M55)*INPUT!Q55+INPUT!Q55*INPUT!Q55*G146</f>
        <v>0</v>
      </c>
      <c r="E146" s="450">
        <f>INPUT!R55*INPUT!AA55+2*INPUT!S55*INPUT!T55</f>
        <v>1580500</v>
      </c>
      <c r="F146" s="179">
        <f>(C146*7.85+(D146+E146)*2.5)/10^5/2</f>
        <v>24.315703274922562</v>
      </c>
      <c r="G146" s="178">
        <f>TAN(INPUT!P55)</f>
        <v>0.12565513657513097</v>
      </c>
      <c r="H146" s="179">
        <f>F146*G146*B146^2/12/10^6</f>
        <v>2.5666892684347467</v>
      </c>
      <c r="I146" s="179">
        <f>INPUT!N55/(MAX(INPUT!V55,INPUT!W55,INPUT!X55/2,INPUT!Y55/2)-INPUT!U55/2+G146*INPUT!N55)</f>
        <v>1.2716669438755954</v>
      </c>
      <c r="J146" s="179">
        <f>INPUT!R55*(MAX(INPUT!V55,INPUT!W55,INPUT!X55/2,INPUT!Y55/2)-INPUT!U55/2)/10^6*25</f>
        <v>13.4125</v>
      </c>
      <c r="K146" s="179">
        <f>0.5*J146/I146*B146*B146/12/10^6</f>
        <v>4.4300902142544727</v>
      </c>
      <c r="L146" s="179">
        <f>0.5*$E$77/I146*B146*B146/12/10^6</f>
        <v>0</v>
      </c>
      <c r="M146" s="180">
        <f>INPUT!G55</f>
        <v>0</v>
      </c>
      <c r="N146" s="181">
        <f>IF(M146&gt;0,(INPUT!BE55+INPUT!BF55+INPUT!BG55)*B146*B146/12/M146/INPUT!N55,0)</f>
        <v>0</v>
      </c>
      <c r="O146" s="296"/>
    </row>
    <row r="147">
      <c r="A147" s="176">
        <f>INPUT!D56</f>
        <v>101</v>
      </c>
      <c r="B147" s="177">
        <f>INPUT!AM56</f>
        <v>3175</v>
      </c>
      <c r="C147" s="449">
        <f>INPUT!H56*INPUT!I56*INPUT!J56+INPUT!K56*INPUT!L56+INPUT!N56*INPUT!O56*2/COS(ATAN(G147))+INPUT!AD56*INPUT!AE56*INPUT!AF56+INPUT!AG56*INPUT!AH56*INPUT!AI56</f>
        <v>116164.41464770856</v>
      </c>
      <c r="D147" s="177">
        <f>(INPUT!K56-2*INPUT!M56)*INPUT!Q56+INPUT!Q56*INPUT!Q56*G147</f>
        <v>0</v>
      </c>
      <c r="E147" s="450">
        <f>INPUT!R56*INPUT!AA56+2*INPUT!S56*INPUT!T56</f>
        <v>1580500</v>
      </c>
      <c r="F147" s="179">
        <f>(C147*7.85+(D147+E147)*2.5)/10^5/2</f>
        <v>24.315703274922562</v>
      </c>
      <c r="G147" s="178">
        <f>TAN(INPUT!P56)</f>
        <v>0.12565513657513097</v>
      </c>
      <c r="H147" s="179">
        <f>F147*G147*B147^2/12/10^6</f>
        <v>2.5666892684347467</v>
      </c>
      <c r="I147" s="179">
        <f>INPUT!N56/(MAX(INPUT!V56,INPUT!W56,INPUT!X56/2,INPUT!Y56/2)-INPUT!U56/2+G147*INPUT!N56)</f>
        <v>1.2716669438755954</v>
      </c>
      <c r="J147" s="179">
        <f>INPUT!R56*(MAX(INPUT!V56,INPUT!W56,INPUT!X56/2,INPUT!Y56/2)-INPUT!U56/2)/10^6*25</f>
        <v>13.4125</v>
      </c>
      <c r="K147" s="179">
        <f>0.5*J147/I147*B147*B147/12/10^6</f>
        <v>4.4300902142544727</v>
      </c>
      <c r="L147" s="179">
        <f>0.5*$E$77/I147*B147*B147/12/10^6</f>
        <v>0</v>
      </c>
      <c r="M147" s="180">
        <f>INPUT!G56</f>
        <v>0</v>
      </c>
      <c r="N147" s="181">
        <f>IF(M147&gt;0,(INPUT!BE56+INPUT!BF56+INPUT!BG56)*B147*B147/12/M147/INPUT!N56,0)</f>
        <v>0</v>
      </c>
      <c r="O147" s="296"/>
    </row>
    <row r="148">
      <c r="A148" s="176">
        <f>INPUT!D57</f>
        <v>101</v>
      </c>
      <c r="B148" s="177">
        <f>INPUT!AM57</f>
        <v>3175</v>
      </c>
      <c r="C148" s="449">
        <f>INPUT!H57*INPUT!I57*INPUT!J57+INPUT!K57*INPUT!L57+INPUT!N57*INPUT!O57*2/COS(ATAN(G148))+INPUT!AD57*INPUT!AE57*INPUT!AF57+INPUT!AG57*INPUT!AH57*INPUT!AI57</f>
        <v>116164.41464770856</v>
      </c>
      <c r="D148" s="177">
        <f>(INPUT!K57-2*INPUT!M57)*INPUT!Q57+INPUT!Q57*INPUT!Q57*G148</f>
        <v>0</v>
      </c>
      <c r="E148" s="450">
        <f>INPUT!R57*INPUT!AA57+2*INPUT!S57*INPUT!T57</f>
        <v>1580500</v>
      </c>
      <c r="F148" s="179">
        <f>(C148*7.85+(D148+E148)*2.5)/10^5/2</f>
        <v>24.315703274922562</v>
      </c>
      <c r="G148" s="178">
        <f>TAN(INPUT!P57)</f>
        <v>0.12565513657513097</v>
      </c>
      <c r="H148" s="179">
        <f>F148*G148*B148^2/12/10^6</f>
        <v>2.5666892684347467</v>
      </c>
      <c r="I148" s="179">
        <f>INPUT!N57/(MAX(INPUT!V57,INPUT!W57,INPUT!X57/2,INPUT!Y57/2)-INPUT!U57/2+G148*INPUT!N57)</f>
        <v>1.2716669438755954</v>
      </c>
      <c r="J148" s="179">
        <f>INPUT!R57*(MAX(INPUT!V57,INPUT!W57,INPUT!X57/2,INPUT!Y57/2)-INPUT!U57/2)/10^6*25</f>
        <v>13.4125</v>
      </c>
      <c r="K148" s="179">
        <f>0.5*J148/I148*B148*B148/12/10^6</f>
        <v>4.4300902142544727</v>
      </c>
      <c r="L148" s="179">
        <f>0.5*$E$77/I148*B148*B148/12/10^6</f>
        <v>0</v>
      </c>
      <c r="M148" s="180">
        <f>INPUT!G57</f>
        <v>0</v>
      </c>
      <c r="N148" s="181">
        <f>IF(M148&gt;0,(INPUT!BE57+INPUT!BF57+INPUT!BG57)*B148*B148/12/M148/INPUT!N57,0)</f>
        <v>0</v>
      </c>
      <c r="O148" s="296"/>
    </row>
    <row r="149">
      <c r="A149" s="176">
        <f>INPUT!D58</f>
        <v>101</v>
      </c>
      <c r="B149" s="177">
        <f>INPUT!AM58</f>
        <v>3175</v>
      </c>
      <c r="C149" s="449">
        <f>INPUT!H58*INPUT!I58*INPUT!J58+INPUT!K58*INPUT!L58+INPUT!N58*INPUT!O58*2/COS(ATAN(G149))+INPUT!AD58*INPUT!AE58*INPUT!AF58+INPUT!AG58*INPUT!AH58*INPUT!AI58</f>
        <v>116164.41464770856</v>
      </c>
      <c r="D149" s="177">
        <f>(INPUT!K58-2*INPUT!M58)*INPUT!Q58+INPUT!Q58*INPUT!Q58*G149</f>
        <v>0</v>
      </c>
      <c r="E149" s="450">
        <f>INPUT!R58*INPUT!AA58+2*INPUT!S58*INPUT!T58</f>
        <v>1580500</v>
      </c>
      <c r="F149" s="179">
        <f>(C149*7.85+(D149+E149)*2.5)/10^5/2</f>
        <v>24.315703274922562</v>
      </c>
      <c r="G149" s="178">
        <f>TAN(INPUT!P58)</f>
        <v>0.12565513657513097</v>
      </c>
      <c r="H149" s="179">
        <f>F149*G149*B149^2/12/10^6</f>
        <v>2.5666892684347467</v>
      </c>
      <c r="I149" s="179">
        <f>INPUT!N58/(MAX(INPUT!V58,INPUT!W58,INPUT!X58/2,INPUT!Y58/2)-INPUT!U58/2+G149*INPUT!N58)</f>
        <v>1.2716669438755954</v>
      </c>
      <c r="J149" s="179">
        <f>INPUT!R58*(MAX(INPUT!V58,INPUT!W58,INPUT!X58/2,INPUT!Y58/2)-INPUT!U58/2)/10^6*25</f>
        <v>13.4125</v>
      </c>
      <c r="K149" s="179">
        <f>0.5*J149/I149*B149*B149/12/10^6</f>
        <v>4.4300902142544727</v>
      </c>
      <c r="L149" s="179">
        <f>0.5*$E$77/I149*B149*B149/12/10^6</f>
        <v>0</v>
      </c>
      <c r="M149" s="180">
        <f>INPUT!G58</f>
        <v>0</v>
      </c>
      <c r="N149" s="181">
        <f>IF(M149&gt;0,(INPUT!BE58+INPUT!BF58+INPUT!BG58)*B149*B149/12/M149/INPUT!N58,0)</f>
        <v>0</v>
      </c>
      <c r="O149" s="296"/>
    </row>
    <row r="150">
      <c r="A150" s="176">
        <f>INPUT!D59</f>
        <v>101</v>
      </c>
      <c r="B150" s="177">
        <f>INPUT!AM59</f>
        <v>3175</v>
      </c>
      <c r="C150" s="449">
        <f>INPUT!H59*INPUT!I59*INPUT!J59+INPUT!K59*INPUT!L59+INPUT!N59*INPUT!O59*2/COS(ATAN(G150))+INPUT!AD59*INPUT!AE59*INPUT!AF59+INPUT!AG59*INPUT!AH59*INPUT!AI59</f>
        <v>116164.41464770856</v>
      </c>
      <c r="D150" s="177">
        <f>(INPUT!K59-2*INPUT!M59)*INPUT!Q59+INPUT!Q59*INPUT!Q59*G150</f>
        <v>0</v>
      </c>
      <c r="E150" s="450">
        <f>INPUT!R59*INPUT!AA59+2*INPUT!S59*INPUT!T59</f>
        <v>1580500</v>
      </c>
      <c r="F150" s="179">
        <f>(C150*7.85+(D150+E150)*2.5)/10^5/2</f>
        <v>24.315703274922562</v>
      </c>
      <c r="G150" s="178">
        <f>TAN(INPUT!P59)</f>
        <v>0.12565513657513097</v>
      </c>
      <c r="H150" s="179">
        <f>F150*G150*B150^2/12/10^6</f>
        <v>2.5666892684347467</v>
      </c>
      <c r="I150" s="179">
        <f>INPUT!N59/(MAX(INPUT!V59,INPUT!W59,INPUT!X59/2,INPUT!Y59/2)-INPUT!U59/2+G150*INPUT!N59)</f>
        <v>1.2716669438755954</v>
      </c>
      <c r="J150" s="179">
        <f>INPUT!R59*(MAX(INPUT!V59,INPUT!W59,INPUT!X59/2,INPUT!Y59/2)-INPUT!U59/2)/10^6*25</f>
        <v>13.4125</v>
      </c>
      <c r="K150" s="179">
        <f>0.5*J150/I150*B150*B150/12/10^6</f>
        <v>4.4300902142544727</v>
      </c>
      <c r="L150" s="179">
        <f>0.5*$E$77/I150*B150*B150/12/10^6</f>
        <v>0</v>
      </c>
      <c r="M150" s="180">
        <f>INPUT!G59</f>
        <v>0</v>
      </c>
      <c r="N150" s="181">
        <f>IF(M150&gt;0,(INPUT!BE59+INPUT!BF59+INPUT!BG59)*B150*B150/12/M150/INPUT!N59,0)</f>
        <v>0</v>
      </c>
      <c r="O150" s="296"/>
    </row>
    <row r="151">
      <c r="A151" s="176">
        <f>INPUT!D60</f>
        <v>101</v>
      </c>
      <c r="B151" s="177">
        <f>INPUT!AM60</f>
        <v>3175</v>
      </c>
      <c r="C151" s="449">
        <f>INPUT!H60*INPUT!I60*INPUT!J60+INPUT!K60*INPUT!L60+INPUT!N60*INPUT!O60*2/COS(ATAN(G151))+INPUT!AD60*INPUT!AE60*INPUT!AF60+INPUT!AG60*INPUT!AH60*INPUT!AI60</f>
        <v>116164.41464770856</v>
      </c>
      <c r="D151" s="177">
        <f>(INPUT!K60-2*INPUT!M60)*INPUT!Q60+INPUT!Q60*INPUT!Q60*G151</f>
        <v>0</v>
      </c>
      <c r="E151" s="450">
        <f>INPUT!R60*INPUT!AA60+2*INPUT!S60*INPUT!T60</f>
        <v>1580500</v>
      </c>
      <c r="F151" s="179">
        <f>(C151*7.85+(D151+E151)*2.5)/10^5/2</f>
        <v>24.315703274922562</v>
      </c>
      <c r="G151" s="178">
        <f>TAN(INPUT!P60)</f>
        <v>0.12565513657513097</v>
      </c>
      <c r="H151" s="179">
        <f>F151*G151*B151^2/12/10^6</f>
        <v>2.5666892684347467</v>
      </c>
      <c r="I151" s="179">
        <f>INPUT!N60/(MAX(INPUT!V60,INPUT!W60,INPUT!X60/2,INPUT!Y60/2)-INPUT!U60/2+G151*INPUT!N60)</f>
        <v>1.2716669438755954</v>
      </c>
      <c r="J151" s="179">
        <f>INPUT!R60*(MAX(INPUT!V60,INPUT!W60,INPUT!X60/2,INPUT!Y60/2)-INPUT!U60/2)/10^6*25</f>
        <v>13.4125</v>
      </c>
      <c r="K151" s="179">
        <f>0.5*J151/I151*B151*B151/12/10^6</f>
        <v>4.4300902142544727</v>
      </c>
      <c r="L151" s="179">
        <f>0.5*$E$77/I151*B151*B151/12/10^6</f>
        <v>0</v>
      </c>
      <c r="M151" s="180">
        <f>INPUT!G60</f>
        <v>0</v>
      </c>
      <c r="N151" s="181">
        <f>IF(M151&gt;0,(INPUT!BE60+INPUT!BF60+INPUT!BG60)*B151*B151/12/M151/INPUT!N60,0)</f>
        <v>0</v>
      </c>
      <c r="O151" s="296"/>
    </row>
    <row r="152">
      <c r="A152" s="176">
        <f>INPUT!D61</f>
        <v>101</v>
      </c>
      <c r="B152" s="177">
        <f>INPUT!AM61</f>
        <v>3175</v>
      </c>
      <c r="C152" s="449">
        <f>INPUT!H61*INPUT!I61*INPUT!J61+INPUT!K61*INPUT!L61+INPUT!N61*INPUT!O61*2/COS(ATAN(G152))+INPUT!AD61*INPUT!AE61*INPUT!AF61+INPUT!AG61*INPUT!AH61*INPUT!AI61</f>
        <v>116164.41464770856</v>
      </c>
      <c r="D152" s="177">
        <f>(INPUT!K61-2*INPUT!M61)*INPUT!Q61+INPUT!Q61*INPUT!Q61*G152</f>
        <v>0</v>
      </c>
      <c r="E152" s="450">
        <f>INPUT!R61*INPUT!AA61+2*INPUT!S61*INPUT!T61</f>
        <v>1580500</v>
      </c>
      <c r="F152" s="179">
        <f>(C152*7.85+(D152+E152)*2.5)/10^5/2</f>
        <v>24.315703274922562</v>
      </c>
      <c r="G152" s="178">
        <f>TAN(INPUT!P61)</f>
        <v>0.12565513657513097</v>
      </c>
      <c r="H152" s="179">
        <f>F152*G152*B152^2/12/10^6</f>
        <v>2.5666892684347467</v>
      </c>
      <c r="I152" s="179">
        <f>INPUT!N61/(MAX(INPUT!V61,INPUT!W61,INPUT!X61/2,INPUT!Y61/2)-INPUT!U61/2+G152*INPUT!N61)</f>
        <v>1.2716669438755954</v>
      </c>
      <c r="J152" s="179">
        <f>INPUT!R61*(MAX(INPUT!V61,INPUT!W61,INPUT!X61/2,INPUT!Y61/2)-INPUT!U61/2)/10^6*25</f>
        <v>13.4125</v>
      </c>
      <c r="K152" s="179">
        <f>0.5*J152/I152*B152*B152/12/10^6</f>
        <v>4.4300902142544727</v>
      </c>
      <c r="L152" s="179">
        <f>0.5*$E$77/I152*B152*B152/12/10^6</f>
        <v>0</v>
      </c>
      <c r="M152" s="180">
        <f>INPUT!G61</f>
        <v>0</v>
      </c>
      <c r="N152" s="181">
        <f>IF(M152&gt;0,(INPUT!BE61+INPUT!BF61+INPUT!BG61)*B152*B152/12/M152/INPUT!N61,0)</f>
        <v>0</v>
      </c>
      <c r="O152" s="296"/>
    </row>
    <row r="153">
      <c r="A153" s="176">
        <f>INPUT!D62</f>
        <v>101</v>
      </c>
      <c r="B153" s="177">
        <f>INPUT!AM62</f>
        <v>3175</v>
      </c>
      <c r="C153" s="449">
        <f>INPUT!H62*INPUT!I62*INPUT!J62+INPUT!K62*INPUT!L62+INPUT!N62*INPUT!O62*2/COS(ATAN(G153))+INPUT!AD62*INPUT!AE62*INPUT!AF62+INPUT!AG62*INPUT!AH62*INPUT!AI62</f>
        <v>116164.41464770856</v>
      </c>
      <c r="D153" s="177">
        <f>(INPUT!K62-2*INPUT!M62)*INPUT!Q62+INPUT!Q62*INPUT!Q62*G153</f>
        <v>0</v>
      </c>
      <c r="E153" s="450">
        <f>INPUT!R62*INPUT!AA62+2*INPUT!S62*INPUT!T62</f>
        <v>1580500</v>
      </c>
      <c r="F153" s="179">
        <f>(C153*7.85+(D153+E153)*2.5)/10^5/2</f>
        <v>24.315703274922562</v>
      </c>
      <c r="G153" s="178">
        <f>TAN(INPUT!P62)</f>
        <v>0.12565513657513097</v>
      </c>
      <c r="H153" s="179">
        <f>F153*G153*B153^2/12/10^6</f>
        <v>2.5666892684347467</v>
      </c>
      <c r="I153" s="179">
        <f>INPUT!N62/(MAX(INPUT!V62,INPUT!W62,INPUT!X62/2,INPUT!Y62/2)-INPUT!U62/2+G153*INPUT!N62)</f>
        <v>1.2716669438755954</v>
      </c>
      <c r="J153" s="179">
        <f>INPUT!R62*(MAX(INPUT!V62,INPUT!W62,INPUT!X62/2,INPUT!Y62/2)-INPUT!U62/2)/10^6*25</f>
        <v>13.4125</v>
      </c>
      <c r="K153" s="179">
        <f>0.5*J153/I153*B153*B153/12/10^6</f>
        <v>4.4300902142544727</v>
      </c>
      <c r="L153" s="179">
        <f>0.5*$E$77/I153*B153*B153/12/10^6</f>
        <v>0</v>
      </c>
      <c r="M153" s="180">
        <f>INPUT!G62</f>
        <v>0</v>
      </c>
      <c r="N153" s="181">
        <f>IF(M153&gt;0,(INPUT!BE62+INPUT!BF62+INPUT!BG62)*B153*B153/12/M153/INPUT!N62,0)</f>
        <v>0</v>
      </c>
      <c r="O153" s="296"/>
    </row>
    <row r="154">
      <c r="A154" s="176">
        <f>INPUT!D63</f>
        <v>101</v>
      </c>
      <c r="B154" s="177">
        <f>INPUT!AM63</f>
        <v>3175</v>
      </c>
      <c r="C154" s="449">
        <f>INPUT!H63*INPUT!I63*INPUT!J63+INPUT!K63*INPUT!L63+INPUT!N63*INPUT!O63*2/COS(ATAN(G154))+INPUT!AD63*INPUT!AE63*INPUT!AF63+INPUT!AG63*INPUT!AH63*INPUT!AI63</f>
        <v>116164.41464770856</v>
      </c>
      <c r="D154" s="177">
        <f>(INPUT!K63-2*INPUT!M63)*INPUT!Q63+INPUT!Q63*INPUT!Q63*G154</f>
        <v>0</v>
      </c>
      <c r="E154" s="450">
        <f>INPUT!R63*INPUT!AA63+2*INPUT!S63*INPUT!T63</f>
        <v>1580500</v>
      </c>
      <c r="F154" s="179">
        <f>(C154*7.85+(D154+E154)*2.5)/10^5/2</f>
        <v>24.315703274922562</v>
      </c>
      <c r="G154" s="178">
        <f>TAN(INPUT!P63)</f>
        <v>0.12565513657513097</v>
      </c>
      <c r="H154" s="179">
        <f>F154*G154*B154^2/12/10^6</f>
        <v>2.5666892684347467</v>
      </c>
      <c r="I154" s="179">
        <f>INPUT!N63/(MAX(INPUT!V63,INPUT!W63,INPUT!X63/2,INPUT!Y63/2)-INPUT!U63/2+G154*INPUT!N63)</f>
        <v>1.2716669438755954</v>
      </c>
      <c r="J154" s="179">
        <f>INPUT!R63*(MAX(INPUT!V63,INPUT!W63,INPUT!X63/2,INPUT!Y63/2)-INPUT!U63/2)/10^6*25</f>
        <v>13.4125</v>
      </c>
      <c r="K154" s="179">
        <f>0.5*J154/I154*B154*B154/12/10^6</f>
        <v>4.4300902142544727</v>
      </c>
      <c r="L154" s="179">
        <f>0.5*$E$77/I154*B154*B154/12/10^6</f>
        <v>0</v>
      </c>
      <c r="M154" s="180">
        <f>INPUT!G63</f>
        <v>0</v>
      </c>
      <c r="N154" s="181">
        <f>IF(M154&gt;0,(INPUT!BE63+INPUT!BF63+INPUT!BG63)*B154*B154/12/M154/INPUT!N63,0)</f>
        <v>0</v>
      </c>
      <c r="O154" s="296"/>
    </row>
    <row r="155">
      <c r="A155" s="176">
        <f>INPUT!D64</f>
        <v>101</v>
      </c>
      <c r="B155" s="177">
        <f>INPUT!AM64</f>
        <v>3175</v>
      </c>
      <c r="C155" s="449">
        <f>INPUT!H64*INPUT!I64*INPUT!J64+INPUT!K64*INPUT!L64+INPUT!N64*INPUT!O64*2/COS(ATAN(G155))+INPUT!AD64*INPUT!AE64*INPUT!AF64+INPUT!AG64*INPUT!AH64*INPUT!AI64</f>
        <v>116164.41464770856</v>
      </c>
      <c r="D155" s="177">
        <f>(INPUT!K64-2*INPUT!M64)*INPUT!Q64+INPUT!Q64*INPUT!Q64*G155</f>
        <v>0</v>
      </c>
      <c r="E155" s="450">
        <f>INPUT!R64*INPUT!AA64+2*INPUT!S64*INPUT!T64</f>
        <v>1580500</v>
      </c>
      <c r="F155" s="179">
        <f>(C155*7.85+(D155+E155)*2.5)/10^5/2</f>
        <v>24.315703274922562</v>
      </c>
      <c r="G155" s="178">
        <f>TAN(INPUT!P64)</f>
        <v>0.12565513657513097</v>
      </c>
      <c r="H155" s="179">
        <f>F155*G155*B155^2/12/10^6</f>
        <v>2.5666892684347467</v>
      </c>
      <c r="I155" s="179">
        <f>INPUT!N64/(MAX(INPUT!V64,INPUT!W64,INPUT!X64/2,INPUT!Y64/2)-INPUT!U64/2+G155*INPUT!N64)</f>
        <v>1.2716669438755954</v>
      </c>
      <c r="J155" s="179">
        <f>INPUT!R64*(MAX(INPUT!V64,INPUT!W64,INPUT!X64/2,INPUT!Y64/2)-INPUT!U64/2)/10^6*25</f>
        <v>13.4125</v>
      </c>
      <c r="K155" s="179">
        <f>0.5*J155/I155*B155*B155/12/10^6</f>
        <v>4.4300902142544727</v>
      </c>
      <c r="L155" s="179">
        <f>0.5*$E$77/I155*B155*B155/12/10^6</f>
        <v>0</v>
      </c>
      <c r="M155" s="180">
        <f>INPUT!G64</f>
        <v>0</v>
      </c>
      <c r="N155" s="181">
        <f>IF(M155&gt;0,(INPUT!BE64+INPUT!BF64+INPUT!BG64)*B155*B155/12/M155/INPUT!N64,0)</f>
        <v>0</v>
      </c>
      <c r="O155" s="296"/>
    </row>
    <row r="156">
      <c r="A156" s="176">
        <f>INPUT!D65</f>
        <v>101</v>
      </c>
      <c r="B156" s="177">
        <f>INPUT!AM65</f>
        <v>3175</v>
      </c>
      <c r="C156" s="449">
        <f>INPUT!H65*INPUT!I65*INPUT!J65+INPUT!K65*INPUT!L65+INPUT!N65*INPUT!O65*2/COS(ATAN(G156))+INPUT!AD65*INPUT!AE65*INPUT!AF65+INPUT!AG65*INPUT!AH65*INPUT!AI65</f>
        <v>116164.41464770856</v>
      </c>
      <c r="D156" s="177">
        <f>(INPUT!K65-2*INPUT!M65)*INPUT!Q65+INPUT!Q65*INPUT!Q65*G156</f>
        <v>0</v>
      </c>
      <c r="E156" s="450">
        <f>INPUT!R65*INPUT!AA65+2*INPUT!S65*INPUT!T65</f>
        <v>1580500</v>
      </c>
      <c r="F156" s="179">
        <f>(C156*7.85+(D156+E156)*2.5)/10^5/2</f>
        <v>24.315703274922562</v>
      </c>
      <c r="G156" s="178">
        <f>TAN(INPUT!P65)</f>
        <v>0.12565513657513097</v>
      </c>
      <c r="H156" s="179">
        <f>F156*G156*B156^2/12/10^6</f>
        <v>2.5666892684347467</v>
      </c>
      <c r="I156" s="179">
        <f>INPUT!N65/(MAX(INPUT!V65,INPUT!W65,INPUT!X65/2,INPUT!Y65/2)-INPUT!U65/2+G156*INPUT!N65)</f>
        <v>1.2716669438755954</v>
      </c>
      <c r="J156" s="179">
        <f>INPUT!R65*(MAX(INPUT!V65,INPUT!W65,INPUT!X65/2,INPUT!Y65/2)-INPUT!U65/2)/10^6*25</f>
        <v>13.4125</v>
      </c>
      <c r="K156" s="179">
        <f>0.5*J156/I156*B156*B156/12/10^6</f>
        <v>4.4300902142544727</v>
      </c>
      <c r="L156" s="179">
        <f>0.5*$E$77/I156*B156*B156/12/10^6</f>
        <v>0</v>
      </c>
      <c r="M156" s="180">
        <f>INPUT!G65</f>
        <v>0</v>
      </c>
      <c r="N156" s="181">
        <f>IF(M156&gt;0,(INPUT!BE65+INPUT!BF65+INPUT!BG65)*B156*B156/12/M156/INPUT!N65,0)</f>
        <v>0</v>
      </c>
      <c r="O156" s="296"/>
    </row>
    <row r="157">
      <c r="A157" s="176">
        <f>INPUT!D66</f>
        <v>101</v>
      </c>
      <c r="B157" s="177">
        <f>INPUT!AM66</f>
        <v>3175</v>
      </c>
      <c r="C157" s="449">
        <f>INPUT!H66*INPUT!I66*INPUT!J66+INPUT!K66*INPUT!L66+INPUT!N66*INPUT!O66*2/COS(ATAN(G157))+INPUT!AD66*INPUT!AE66*INPUT!AF66+INPUT!AG66*INPUT!AH66*INPUT!AI66</f>
        <v>116164.41464770856</v>
      </c>
      <c r="D157" s="177">
        <f>(INPUT!K66-2*INPUT!M66)*INPUT!Q66+INPUT!Q66*INPUT!Q66*G157</f>
        <v>0</v>
      </c>
      <c r="E157" s="450">
        <f>INPUT!R66*INPUT!AA66+2*INPUT!S66*INPUT!T66</f>
        <v>1580500</v>
      </c>
      <c r="F157" s="179">
        <f>(C157*7.85+(D157+E157)*2.5)/10^5/2</f>
        <v>24.315703274922562</v>
      </c>
      <c r="G157" s="178">
        <f>TAN(INPUT!P66)</f>
        <v>0.12565513657513097</v>
      </c>
      <c r="H157" s="179">
        <f>F157*G157*B157^2/12/10^6</f>
        <v>2.5666892684347467</v>
      </c>
      <c r="I157" s="179">
        <f>INPUT!N66/(MAX(INPUT!V66,INPUT!W66,INPUT!X66/2,INPUT!Y66/2)-INPUT!U66/2+G157*INPUT!N66)</f>
        <v>1.2716669438755954</v>
      </c>
      <c r="J157" s="179">
        <f>INPUT!R66*(MAX(INPUT!V66,INPUT!W66,INPUT!X66/2,INPUT!Y66/2)-INPUT!U66/2)/10^6*25</f>
        <v>13.4125</v>
      </c>
      <c r="K157" s="179">
        <f>0.5*J157/I157*B157*B157/12/10^6</f>
        <v>4.4300902142544727</v>
      </c>
      <c r="L157" s="179">
        <f>0.5*$E$77/I157*B157*B157/12/10^6</f>
        <v>0</v>
      </c>
      <c r="M157" s="180">
        <f>INPUT!G66</f>
        <v>0</v>
      </c>
      <c r="N157" s="181">
        <f>IF(M157&gt;0,(INPUT!BE66+INPUT!BF66+INPUT!BG66)*B157*B157/12/M157/INPUT!N66,0)</f>
        <v>0</v>
      </c>
      <c r="O157" s="296"/>
    </row>
    <row r="158">
      <c r="A158" s="176">
        <f>INPUT!D67</f>
        <v>101</v>
      </c>
      <c r="B158" s="177">
        <f>INPUT!AM67</f>
        <v>3175</v>
      </c>
      <c r="C158" s="449">
        <f>INPUT!H67*INPUT!I67*INPUT!J67+INPUT!K67*INPUT!L67+INPUT!N67*INPUT!O67*2/COS(ATAN(G158))+INPUT!AD67*INPUT!AE67*INPUT!AF67+INPUT!AG67*INPUT!AH67*INPUT!AI67</f>
        <v>116164.41464770856</v>
      </c>
      <c r="D158" s="177">
        <f>(INPUT!K67-2*INPUT!M67)*INPUT!Q67+INPUT!Q67*INPUT!Q67*G158</f>
        <v>0</v>
      </c>
      <c r="E158" s="450">
        <f>INPUT!R67*INPUT!AA67+2*INPUT!S67*INPUT!T67</f>
        <v>1580500</v>
      </c>
      <c r="F158" s="179">
        <f>(C158*7.85+(D158+E158)*2.5)/10^5/2</f>
        <v>24.315703274922562</v>
      </c>
      <c r="G158" s="178">
        <f>TAN(INPUT!P67)</f>
        <v>0.12565513657513097</v>
      </c>
      <c r="H158" s="179">
        <f>F158*G158*B158^2/12/10^6</f>
        <v>2.5666892684347467</v>
      </c>
      <c r="I158" s="179">
        <f>INPUT!N67/(MAX(INPUT!V67,INPUT!W67,INPUT!X67/2,INPUT!Y67/2)-INPUT!U67/2+G158*INPUT!N67)</f>
        <v>1.2716669438755954</v>
      </c>
      <c r="J158" s="179">
        <f>INPUT!R67*(MAX(INPUT!V67,INPUT!W67,INPUT!X67/2,INPUT!Y67/2)-INPUT!U67/2)/10^6*25</f>
        <v>13.4125</v>
      </c>
      <c r="K158" s="179">
        <f>0.5*J158/I158*B158*B158/12/10^6</f>
        <v>4.4300902142544727</v>
      </c>
      <c r="L158" s="179">
        <f>0.5*$E$77/I158*B158*B158/12/10^6</f>
        <v>0</v>
      </c>
      <c r="M158" s="180">
        <f>INPUT!G67</f>
        <v>0</v>
      </c>
      <c r="N158" s="181">
        <f>IF(M158&gt;0,(INPUT!BE67+INPUT!BF67+INPUT!BG67)*B158*B158/12/M158/INPUT!N67,0)</f>
        <v>0</v>
      </c>
      <c r="O158" s="296"/>
    </row>
    <row r="159">
      <c r="A159" s="176">
        <f>INPUT!D68</f>
        <v>101</v>
      </c>
      <c r="B159" s="177">
        <f>INPUT!AM68</f>
        <v>3175</v>
      </c>
      <c r="C159" s="449">
        <f>INPUT!H68*INPUT!I68*INPUT!J68+INPUT!K68*INPUT!L68+INPUT!N68*INPUT!O68*2/COS(ATAN(G159))+INPUT!AD68*INPUT!AE68*INPUT!AF68+INPUT!AG68*INPUT!AH68*INPUT!AI68</f>
        <v>116164.41464770856</v>
      </c>
      <c r="D159" s="177">
        <f>(INPUT!K68-2*INPUT!M68)*INPUT!Q68+INPUT!Q68*INPUT!Q68*G159</f>
        <v>0</v>
      </c>
      <c r="E159" s="450">
        <f>INPUT!R68*INPUT!AA68+2*INPUT!S68*INPUT!T68</f>
        <v>1580500</v>
      </c>
      <c r="F159" s="179">
        <f>(C159*7.85+(D159+E159)*2.5)/10^5/2</f>
        <v>24.315703274922562</v>
      </c>
      <c r="G159" s="178">
        <f>TAN(INPUT!P68)</f>
        <v>0.12565513657513097</v>
      </c>
      <c r="H159" s="179">
        <f>F159*G159*B159^2/12/10^6</f>
        <v>2.5666892684347467</v>
      </c>
      <c r="I159" s="179">
        <f>INPUT!N68/(MAX(INPUT!V68,INPUT!W68,INPUT!X68/2,INPUT!Y68/2)-INPUT!U68/2+G159*INPUT!N68)</f>
        <v>1.2716669438755954</v>
      </c>
      <c r="J159" s="179">
        <f>INPUT!R68*(MAX(INPUT!V68,INPUT!W68,INPUT!X68/2,INPUT!Y68/2)-INPUT!U68/2)/10^6*25</f>
        <v>13.4125</v>
      </c>
      <c r="K159" s="179">
        <f>0.5*J159/I159*B159*B159/12/10^6</f>
        <v>4.4300902142544727</v>
      </c>
      <c r="L159" s="179">
        <f>0.5*$E$77/I159*B159*B159/12/10^6</f>
        <v>0</v>
      </c>
      <c r="M159" s="180">
        <f>INPUT!G68</f>
        <v>0</v>
      </c>
      <c r="N159" s="181">
        <f>IF(M159&gt;0,(INPUT!BE68+INPUT!BF68+INPUT!BG68)*B159*B159/12/M159/INPUT!N68,0)</f>
        <v>0</v>
      </c>
      <c r="O159" s="296"/>
    </row>
    <row r="160">
      <c r="A160" s="176">
        <f>INPUT!D69</f>
        <v>101</v>
      </c>
      <c r="B160" s="177">
        <f>INPUT!AM69</f>
        <v>3175</v>
      </c>
      <c r="C160" s="449">
        <f>INPUT!H69*INPUT!I69*INPUT!J69+INPUT!K69*INPUT!L69+INPUT!N69*INPUT!O69*2/COS(ATAN(G160))+INPUT!AD69*INPUT!AE69*INPUT!AF69+INPUT!AG69*INPUT!AH69*INPUT!AI69</f>
        <v>116164.41464770856</v>
      </c>
      <c r="D160" s="177">
        <f>(INPUT!K69-2*INPUT!M69)*INPUT!Q69+INPUT!Q69*INPUT!Q69*G160</f>
        <v>0</v>
      </c>
      <c r="E160" s="450">
        <f>INPUT!R69*INPUT!AA69+2*INPUT!S69*INPUT!T69</f>
        <v>1580500</v>
      </c>
      <c r="F160" s="179">
        <f>(C160*7.85+(D160+E160)*2.5)/10^5/2</f>
        <v>24.315703274922562</v>
      </c>
      <c r="G160" s="178">
        <f>TAN(INPUT!P69)</f>
        <v>0.12565513657513097</v>
      </c>
      <c r="H160" s="179">
        <f>F160*G160*B160^2/12/10^6</f>
        <v>2.5666892684347467</v>
      </c>
      <c r="I160" s="179">
        <f>INPUT!N69/(MAX(INPUT!V69,INPUT!W69,INPUT!X69/2,INPUT!Y69/2)-INPUT!U69/2+G160*INPUT!N69)</f>
        <v>1.2716669438755954</v>
      </c>
      <c r="J160" s="179">
        <f>INPUT!R69*(MAX(INPUT!V69,INPUT!W69,INPUT!X69/2,INPUT!Y69/2)-INPUT!U69/2)/10^6*25</f>
        <v>13.4125</v>
      </c>
      <c r="K160" s="179">
        <f>0.5*J160/I160*B160*B160/12/10^6</f>
        <v>4.4300902142544727</v>
      </c>
      <c r="L160" s="179">
        <f>0.5*$E$77/I160*B160*B160/12/10^6</f>
        <v>0</v>
      </c>
      <c r="M160" s="180">
        <f>INPUT!G69</f>
        <v>0</v>
      </c>
      <c r="N160" s="181">
        <f>IF(M160&gt;0,(INPUT!BE69+INPUT!BF69+INPUT!BG69)*B160*B160/12/M160/INPUT!N69,0)</f>
        <v>0</v>
      </c>
      <c r="O160" s="296"/>
    </row>
    <row r="161">
      <c r="A161" s="176">
        <f>INPUT!D70</f>
        <v>101</v>
      </c>
      <c r="B161" s="177">
        <f>INPUT!AM70</f>
        <v>3175</v>
      </c>
      <c r="C161" s="449">
        <f>INPUT!H70*INPUT!I70*INPUT!J70+INPUT!K70*INPUT!L70+INPUT!N70*INPUT!O70*2/COS(ATAN(G161))+INPUT!AD70*INPUT!AE70*INPUT!AF70+INPUT!AG70*INPUT!AH70*INPUT!AI70</f>
        <v>116164.41464770856</v>
      </c>
      <c r="D161" s="177">
        <f>(INPUT!K70-2*INPUT!M70)*INPUT!Q70+INPUT!Q70*INPUT!Q70*G161</f>
        <v>0</v>
      </c>
      <c r="E161" s="450">
        <f>INPUT!R70*INPUT!AA70+2*INPUT!S70*INPUT!T70</f>
        <v>1580500</v>
      </c>
      <c r="F161" s="179">
        <f>(C161*7.85+(D161+E161)*2.5)/10^5/2</f>
        <v>24.315703274922562</v>
      </c>
      <c r="G161" s="178">
        <f>TAN(INPUT!P70)</f>
        <v>0.12565513657513097</v>
      </c>
      <c r="H161" s="179">
        <f>F161*G161*B161^2/12/10^6</f>
        <v>2.5666892684347467</v>
      </c>
      <c r="I161" s="179">
        <f>INPUT!N70/(MAX(INPUT!V70,INPUT!W70,INPUT!X70/2,INPUT!Y70/2)-INPUT!U70/2+G161*INPUT!N70)</f>
        <v>1.2716669438755954</v>
      </c>
      <c r="J161" s="179">
        <f>INPUT!R70*(MAX(INPUT!V70,INPUT!W70,INPUT!X70/2,INPUT!Y70/2)-INPUT!U70/2)/10^6*25</f>
        <v>13.4125</v>
      </c>
      <c r="K161" s="179">
        <f>0.5*J161/I161*B161*B161/12/10^6</f>
        <v>4.4300902142544727</v>
      </c>
      <c r="L161" s="179">
        <f>0.5*$E$77/I161*B161*B161/12/10^6</f>
        <v>0</v>
      </c>
      <c r="M161" s="180">
        <f>INPUT!G70</f>
        <v>0</v>
      </c>
      <c r="N161" s="181">
        <f>IF(M161&gt;0,(INPUT!BE70+INPUT!BF70+INPUT!BG70)*B161*B161/12/M161/INPUT!N70,0)</f>
        <v>0</v>
      </c>
      <c r="O161" s="296"/>
    </row>
    <row r="162">
      <c r="A162" s="176">
        <f>INPUT!D71</f>
        <v>101</v>
      </c>
      <c r="B162" s="177">
        <f>INPUT!AM71</f>
        <v>3175</v>
      </c>
      <c r="C162" s="449">
        <f>INPUT!H71*INPUT!I71*INPUT!J71+INPUT!K71*INPUT!L71+INPUT!N71*INPUT!O71*2/COS(ATAN(G162))+INPUT!AD71*INPUT!AE71*INPUT!AF71+INPUT!AG71*INPUT!AH71*INPUT!AI71</f>
        <v>116164.41464770856</v>
      </c>
      <c r="D162" s="177">
        <f>(INPUT!K71-2*INPUT!M71)*INPUT!Q71+INPUT!Q71*INPUT!Q71*G162</f>
        <v>0</v>
      </c>
      <c r="E162" s="450">
        <f>INPUT!R71*INPUT!AA71+2*INPUT!S71*INPUT!T71</f>
        <v>1580500</v>
      </c>
      <c r="F162" s="179">
        <f>(C162*7.85+(D162+E162)*2.5)/10^5/2</f>
        <v>24.315703274922562</v>
      </c>
      <c r="G162" s="178">
        <f>TAN(INPUT!P71)</f>
        <v>0.12565513657513097</v>
      </c>
      <c r="H162" s="179">
        <f>F162*G162*B162^2/12/10^6</f>
        <v>2.5666892684347467</v>
      </c>
      <c r="I162" s="179">
        <f>INPUT!N71/(MAX(INPUT!V71,INPUT!W71,INPUT!X71/2,INPUT!Y71/2)-INPUT!U71/2+G162*INPUT!N71)</f>
        <v>1.2716669438755954</v>
      </c>
      <c r="J162" s="179">
        <f>INPUT!R71*(MAX(INPUT!V71,INPUT!W71,INPUT!X71/2,INPUT!Y71/2)-INPUT!U71/2)/10^6*25</f>
        <v>13.4125</v>
      </c>
      <c r="K162" s="179">
        <f>0.5*J162/I162*B162*B162/12/10^6</f>
        <v>4.4300902142544727</v>
      </c>
      <c r="L162" s="179">
        <f>0.5*$E$77/I162*B162*B162/12/10^6</f>
        <v>0</v>
      </c>
      <c r="M162" s="180">
        <f>INPUT!G71</f>
        <v>0</v>
      </c>
      <c r="N162" s="181">
        <f>IF(M162&gt;0,(INPUT!BE71+INPUT!BF71+INPUT!BG71)*B162*B162/12/M162/INPUT!N71,0)</f>
        <v>0</v>
      </c>
      <c r="O162" s="296"/>
    </row>
    <row r="163">
      <c r="A163" s="176">
        <f>INPUT!D72</f>
        <v>101</v>
      </c>
      <c r="B163" s="177">
        <f>INPUT!AM72</f>
        <v>3175</v>
      </c>
      <c r="C163" s="449">
        <f>INPUT!H72*INPUT!I72*INPUT!J72+INPUT!K72*INPUT!L72+INPUT!N72*INPUT!O72*2/COS(ATAN(G163))+INPUT!AD72*INPUT!AE72*INPUT!AF72+INPUT!AG72*INPUT!AH72*INPUT!AI72</f>
        <v>116164.41464770856</v>
      </c>
      <c r="D163" s="177">
        <f>(INPUT!K72-2*INPUT!M72)*INPUT!Q72+INPUT!Q72*INPUT!Q72*G163</f>
        <v>0</v>
      </c>
      <c r="E163" s="450">
        <f>INPUT!R72*INPUT!AA72+2*INPUT!S72*INPUT!T72</f>
        <v>1580500</v>
      </c>
      <c r="F163" s="179">
        <f>(C163*7.85+(D163+E163)*2.5)/10^5/2</f>
        <v>24.315703274922562</v>
      </c>
      <c r="G163" s="178">
        <f>TAN(INPUT!P72)</f>
        <v>0.12565513657513097</v>
      </c>
      <c r="H163" s="179">
        <f>F163*G163*B163^2/12/10^6</f>
        <v>2.5666892684347467</v>
      </c>
      <c r="I163" s="179">
        <f>INPUT!N72/(MAX(INPUT!V72,INPUT!W72,INPUT!X72/2,INPUT!Y72/2)-INPUT!U72/2+G163*INPUT!N72)</f>
        <v>1.2716669438755954</v>
      </c>
      <c r="J163" s="179">
        <f>INPUT!R72*(MAX(INPUT!V72,INPUT!W72,INPUT!X72/2,INPUT!Y72/2)-INPUT!U72/2)/10^6*25</f>
        <v>13.4125</v>
      </c>
      <c r="K163" s="179">
        <f>0.5*J163/I163*B163*B163/12/10^6</f>
        <v>4.4300902142544727</v>
      </c>
      <c r="L163" s="179">
        <f>0.5*$E$77/I163*B163*B163/12/10^6</f>
        <v>0</v>
      </c>
      <c r="M163" s="180">
        <f>INPUT!G72</f>
        <v>0</v>
      </c>
      <c r="N163" s="181">
        <f>IF(M163&gt;0,(INPUT!BE72+INPUT!BF72+INPUT!BG72)*B163*B163/12/M163/INPUT!N72,0)</f>
        <v>0</v>
      </c>
      <c r="O163" s="296"/>
    </row>
    <row r="164">
      <c r="A164" s="176">
        <f>INPUT!D73</f>
        <v>101</v>
      </c>
      <c r="B164" s="177">
        <f>INPUT!AM73</f>
        <v>3175</v>
      </c>
      <c r="C164" s="449">
        <f>INPUT!H73*INPUT!I73*INPUT!J73+INPUT!K73*INPUT!L73+INPUT!N73*INPUT!O73*2/COS(ATAN(G164))+INPUT!AD73*INPUT!AE73*INPUT!AF73+INPUT!AG73*INPUT!AH73*INPUT!AI73</f>
        <v>116164.41464770856</v>
      </c>
      <c r="D164" s="177">
        <f>(INPUT!K73-2*INPUT!M73)*INPUT!Q73+INPUT!Q73*INPUT!Q73*G164</f>
        <v>0</v>
      </c>
      <c r="E164" s="450">
        <f>INPUT!R73*INPUT!AA73+2*INPUT!S73*INPUT!T73</f>
        <v>1580500</v>
      </c>
      <c r="F164" s="179">
        <f>(C164*7.85+(D164+E164)*2.5)/10^5/2</f>
        <v>24.315703274922562</v>
      </c>
      <c r="G164" s="178">
        <f>TAN(INPUT!P73)</f>
        <v>0.12565513657513097</v>
      </c>
      <c r="H164" s="179">
        <f>F164*G164*B164^2/12/10^6</f>
        <v>2.5666892684347467</v>
      </c>
      <c r="I164" s="179">
        <f>INPUT!N73/(MAX(INPUT!V73,INPUT!W73,INPUT!X73/2,INPUT!Y73/2)-INPUT!U73/2+G164*INPUT!N73)</f>
        <v>1.2716669438755954</v>
      </c>
      <c r="J164" s="179">
        <f>INPUT!R73*(MAX(INPUT!V73,INPUT!W73,INPUT!X73/2,INPUT!Y73/2)-INPUT!U73/2)/10^6*25</f>
        <v>13.4125</v>
      </c>
      <c r="K164" s="179">
        <f>0.5*J164/I164*B164*B164/12/10^6</f>
        <v>4.4300902142544727</v>
      </c>
      <c r="L164" s="179">
        <f>0.5*$E$77/I164*B164*B164/12/10^6</f>
        <v>0</v>
      </c>
      <c r="M164" s="180">
        <f>INPUT!G73</f>
        <v>0</v>
      </c>
      <c r="N164" s="181">
        <f>IF(M164&gt;0,(INPUT!BE73+INPUT!BF73+INPUT!BG73)*B164*B164/12/M164/INPUT!N73,0)</f>
        <v>0</v>
      </c>
      <c r="O164" s="296"/>
    </row>
    <row r="165">
      <c r="A165" s="176">
        <f>INPUT!D74</f>
        <v>101</v>
      </c>
      <c r="B165" s="177">
        <f>INPUT!AM74</f>
        <v>3175</v>
      </c>
      <c r="C165" s="449">
        <f>INPUT!H74*INPUT!I74*INPUT!J74+INPUT!K74*INPUT!L74+INPUT!N74*INPUT!O74*2/COS(ATAN(G165))+INPUT!AD74*INPUT!AE74*INPUT!AF74+INPUT!AG74*INPUT!AH74*INPUT!AI74</f>
        <v>116164.41464770856</v>
      </c>
      <c r="D165" s="177">
        <f>(INPUT!K74-2*INPUT!M74)*INPUT!Q74+INPUT!Q74*INPUT!Q74*G165</f>
        <v>0</v>
      </c>
      <c r="E165" s="450">
        <f>INPUT!R74*INPUT!AA74+2*INPUT!S74*INPUT!T74</f>
        <v>1580500</v>
      </c>
      <c r="F165" s="179">
        <f>(C165*7.85+(D165+E165)*2.5)/10^5/2</f>
        <v>24.315703274922562</v>
      </c>
      <c r="G165" s="178">
        <f>TAN(INPUT!P74)</f>
        <v>0.12565513657513097</v>
      </c>
      <c r="H165" s="179">
        <f>F165*G165*B165^2/12/10^6</f>
        <v>2.5666892684347467</v>
      </c>
      <c r="I165" s="179">
        <f>INPUT!N74/(MAX(INPUT!V74,INPUT!W74,INPUT!X74/2,INPUT!Y74/2)-INPUT!U74/2+G165*INPUT!N74)</f>
        <v>1.2716669438755954</v>
      </c>
      <c r="J165" s="179">
        <f>INPUT!R74*(MAX(INPUT!V74,INPUT!W74,INPUT!X74/2,INPUT!Y74/2)-INPUT!U74/2)/10^6*25</f>
        <v>13.4125</v>
      </c>
      <c r="K165" s="179">
        <f>0.5*J165/I165*B165*B165/12/10^6</f>
        <v>4.4300902142544727</v>
      </c>
      <c r="L165" s="179">
        <f>0.5*$E$77/I165*B165*B165/12/10^6</f>
        <v>0</v>
      </c>
      <c r="M165" s="180">
        <f>INPUT!G74</f>
        <v>0</v>
      </c>
      <c r="N165" s="181">
        <f>IF(M165&gt;0,(INPUT!BE74+INPUT!BF74+INPUT!BG74)*B165*B165/12/M165/INPUT!N74,0)</f>
        <v>0</v>
      </c>
      <c r="O165" s="296"/>
    </row>
    <row r="166">
      <c r="A166" s="176">
        <f>INPUT!D75</f>
        <v>101</v>
      </c>
      <c r="B166" s="177">
        <f>INPUT!AM75</f>
        <v>3175</v>
      </c>
      <c r="C166" s="449">
        <f>INPUT!H75*INPUT!I75*INPUT!J75+INPUT!K75*INPUT!L75+INPUT!N75*INPUT!O75*2/COS(ATAN(G166))+INPUT!AD75*INPUT!AE75*INPUT!AF75+INPUT!AG75*INPUT!AH75*INPUT!AI75</f>
        <v>116164.41464770856</v>
      </c>
      <c r="D166" s="177">
        <f>(INPUT!K75-2*INPUT!M75)*INPUT!Q75+INPUT!Q75*INPUT!Q75*G166</f>
        <v>0</v>
      </c>
      <c r="E166" s="450">
        <f>INPUT!R75*INPUT!AA75+2*INPUT!S75*INPUT!T75</f>
        <v>1580500</v>
      </c>
      <c r="F166" s="179">
        <f>(C166*7.85+(D166+E166)*2.5)/10^5/2</f>
        <v>24.315703274922562</v>
      </c>
      <c r="G166" s="178">
        <f>TAN(INPUT!P75)</f>
        <v>0.12565513657513097</v>
      </c>
      <c r="H166" s="179">
        <f>F166*G166*B166^2/12/10^6</f>
        <v>2.5666892684347467</v>
      </c>
      <c r="I166" s="179">
        <f>INPUT!N75/(MAX(INPUT!V75,INPUT!W75,INPUT!X75/2,INPUT!Y75/2)-INPUT!U75/2+G166*INPUT!N75)</f>
        <v>1.2716669438755954</v>
      </c>
      <c r="J166" s="179">
        <f>INPUT!R75*(MAX(INPUT!V75,INPUT!W75,INPUT!X75/2,INPUT!Y75/2)-INPUT!U75/2)/10^6*25</f>
        <v>13.4125</v>
      </c>
      <c r="K166" s="179">
        <f>0.5*J166/I166*B166*B166/12/10^6</f>
        <v>4.4300902142544727</v>
      </c>
      <c r="L166" s="179">
        <f>0.5*$E$77/I166*B166*B166/12/10^6</f>
        <v>0</v>
      </c>
      <c r="M166" s="180">
        <f>INPUT!G75</f>
        <v>0</v>
      </c>
      <c r="N166" s="181">
        <f>IF(M166&gt;0,(INPUT!BE75+INPUT!BF75+INPUT!BG75)*B166*B166/12/M166/INPUT!N75,0)</f>
        <v>0</v>
      </c>
      <c r="O166" s="296"/>
    </row>
    <row r="167">
      <c r="A167" s="176">
        <f>INPUT!D76</f>
        <v>101</v>
      </c>
      <c r="B167" s="177">
        <f>INPUT!AM76</f>
        <v>3175</v>
      </c>
      <c r="C167" s="449">
        <f>INPUT!H76*INPUT!I76*INPUT!J76+INPUT!K76*INPUT!L76+INPUT!N76*INPUT!O76*2/COS(ATAN(G167))+INPUT!AD76*INPUT!AE76*INPUT!AF76+INPUT!AG76*INPUT!AH76*INPUT!AI76</f>
        <v>116164.41464770856</v>
      </c>
      <c r="D167" s="177">
        <f>(INPUT!K76-2*INPUT!M76)*INPUT!Q76+INPUT!Q76*INPUT!Q76*G167</f>
        <v>0</v>
      </c>
      <c r="E167" s="450">
        <f>INPUT!R76*INPUT!AA76+2*INPUT!S76*INPUT!T76</f>
        <v>1580500</v>
      </c>
      <c r="F167" s="179">
        <f>(C167*7.85+(D167+E167)*2.5)/10^5/2</f>
        <v>24.315703274922562</v>
      </c>
      <c r="G167" s="178">
        <f>TAN(INPUT!P76)</f>
        <v>0.12565513657513097</v>
      </c>
      <c r="H167" s="179">
        <f>F167*G167*B167^2/12/10^6</f>
        <v>2.5666892684347467</v>
      </c>
      <c r="I167" s="179">
        <f>INPUT!N76/(MAX(INPUT!V76,INPUT!W76,INPUT!X76/2,INPUT!Y76/2)-INPUT!U76/2+G167*INPUT!N76)</f>
        <v>1.2716669438755954</v>
      </c>
      <c r="J167" s="179">
        <f>INPUT!R76*(MAX(INPUT!V76,INPUT!W76,INPUT!X76/2,INPUT!Y76/2)-INPUT!U76/2)/10^6*25</f>
        <v>13.4125</v>
      </c>
      <c r="K167" s="179">
        <f>0.5*J167/I167*B167*B167/12/10^6</f>
        <v>4.4300902142544727</v>
      </c>
      <c r="L167" s="179">
        <f>0.5*$E$77/I167*B167*B167/12/10^6</f>
        <v>0</v>
      </c>
      <c r="M167" s="180">
        <f>INPUT!G76</f>
        <v>0</v>
      </c>
      <c r="N167" s="181">
        <f>IF(M167&gt;0,(INPUT!BE76+INPUT!BF76+INPUT!BG76)*B167*B167/12/M167/INPUT!N76,0)</f>
        <v>0</v>
      </c>
      <c r="O167" s="296"/>
    </row>
    <row r="168">
      <c r="A168" s="176">
        <f>INPUT!D77</f>
        <v>101</v>
      </c>
      <c r="B168" s="177">
        <f>INPUT!AM77</f>
        <v>3175</v>
      </c>
      <c r="C168" s="449">
        <f>INPUT!H77*INPUT!I77*INPUT!J77+INPUT!K77*INPUT!L77+INPUT!N77*INPUT!O77*2/COS(ATAN(G168))+INPUT!AD77*INPUT!AE77*INPUT!AF77+INPUT!AG77*INPUT!AH77*INPUT!AI77</f>
        <v>116164.41464770856</v>
      </c>
      <c r="D168" s="177">
        <f>(INPUT!K77-2*INPUT!M77)*INPUT!Q77+INPUT!Q77*INPUT!Q77*G168</f>
        <v>0</v>
      </c>
      <c r="E168" s="450">
        <f>INPUT!R77*INPUT!AA77+2*INPUT!S77*INPUT!T77</f>
        <v>1580500</v>
      </c>
      <c r="F168" s="179">
        <f>(C168*7.85+(D168+E168)*2.5)/10^5/2</f>
        <v>24.315703274922562</v>
      </c>
      <c r="G168" s="178">
        <f>TAN(INPUT!P77)</f>
        <v>0.12565513657513097</v>
      </c>
      <c r="H168" s="179">
        <f>F168*G168*B168^2/12/10^6</f>
        <v>2.5666892684347467</v>
      </c>
      <c r="I168" s="179">
        <f>INPUT!N77/(MAX(INPUT!V77,INPUT!W77,INPUT!X77/2,INPUT!Y77/2)-INPUT!U77/2+G168*INPUT!N77)</f>
        <v>1.2716669438755954</v>
      </c>
      <c r="J168" s="179">
        <f>INPUT!R77*(MAX(INPUT!V77,INPUT!W77,INPUT!X77/2,INPUT!Y77/2)-INPUT!U77/2)/10^6*25</f>
        <v>13.4125</v>
      </c>
      <c r="K168" s="179">
        <f>0.5*J168/I168*B168*B168/12/10^6</f>
        <v>4.4300902142544727</v>
      </c>
      <c r="L168" s="179">
        <f>0.5*$E$77/I168*B168*B168/12/10^6</f>
        <v>0</v>
      </c>
      <c r="M168" s="180">
        <f>INPUT!G77</f>
        <v>0</v>
      </c>
      <c r="N168" s="181">
        <f>IF(M168&gt;0,(INPUT!BE77+INPUT!BF77+INPUT!BG77)*B168*B168/12/M168/INPUT!N77,0)</f>
        <v>0</v>
      </c>
      <c r="O168" s="296"/>
    </row>
    <row r="169">
      <c r="A169" s="176">
        <f>INPUT!D78</f>
        <v>101</v>
      </c>
      <c r="B169" s="177">
        <f>INPUT!AM78</f>
        <v>3175</v>
      </c>
      <c r="C169" s="449">
        <f>INPUT!H78*INPUT!I78*INPUT!J78+INPUT!K78*INPUT!L78+INPUT!N78*INPUT!O78*2/COS(ATAN(G169))+INPUT!AD78*INPUT!AE78*INPUT!AF78+INPUT!AG78*INPUT!AH78*INPUT!AI78</f>
        <v>116164.41464770856</v>
      </c>
      <c r="D169" s="177">
        <f>(INPUT!K78-2*INPUT!M78)*INPUT!Q78+INPUT!Q78*INPUT!Q78*G169</f>
        <v>0</v>
      </c>
      <c r="E169" s="450">
        <f>INPUT!R78*INPUT!AA78+2*INPUT!S78*INPUT!T78</f>
        <v>1580500</v>
      </c>
      <c r="F169" s="179">
        <f>(C169*7.85+(D169+E169)*2.5)/10^5/2</f>
        <v>24.315703274922562</v>
      </c>
      <c r="G169" s="178">
        <f>TAN(INPUT!P78)</f>
        <v>0.12565513657513097</v>
      </c>
      <c r="H169" s="179">
        <f>F169*G169*B169^2/12/10^6</f>
        <v>2.5666892684347467</v>
      </c>
      <c r="I169" s="179">
        <f>INPUT!N78/(MAX(INPUT!V78,INPUT!W78,INPUT!X78/2,INPUT!Y78/2)-INPUT!U78/2+G169*INPUT!N78)</f>
        <v>1.2716669438755954</v>
      </c>
      <c r="J169" s="179">
        <f>INPUT!R78*(MAX(INPUT!V78,INPUT!W78,INPUT!X78/2,INPUT!Y78/2)-INPUT!U78/2)/10^6*25</f>
        <v>13.4125</v>
      </c>
      <c r="K169" s="179">
        <f>0.5*J169/I169*B169*B169/12/10^6</f>
        <v>4.4300902142544727</v>
      </c>
      <c r="L169" s="179">
        <f>0.5*$E$77/I169*B169*B169/12/10^6</f>
        <v>0</v>
      </c>
      <c r="M169" s="180">
        <f>INPUT!G78</f>
        <v>0</v>
      </c>
      <c r="N169" s="181">
        <f>IF(M169&gt;0,(INPUT!BE78+INPUT!BF78+INPUT!BG78)*B169*B169/12/M169/INPUT!N78,0)</f>
        <v>0</v>
      </c>
      <c r="O169" s="296"/>
    </row>
    <row r="170" ht="1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5"/>
      <c r="M170" s="4"/>
      <c r="N170" s="64"/>
      <c r="O170" s="296"/>
    </row>
    <row r="171" ht="15" customHeight="1">
      <c r="A171" s="59" t="s">
        <v>241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5"/>
      <c r="M171" s="4"/>
      <c r="N171" s="64"/>
      <c r="O171" s="296"/>
    </row>
    <row r="172" ht="15" customHeight="1">
      <c r="A172" s="72" t="s">
        <v>230</v>
      </c>
      <c r="B172" s="494" t="s">
        <v>222</v>
      </c>
      <c r="C172" s="495"/>
      <c r="D172" s="78" t="s">
        <v>242</v>
      </c>
      <c r="E172" s="73" t="s">
        <v>224</v>
      </c>
      <c r="F172" s="73" t="s">
        <v>219</v>
      </c>
      <c r="G172" s="73" t="s">
        <v>226</v>
      </c>
      <c r="H172" s="73" t="s">
        <v>243</v>
      </c>
      <c r="I172" s="73" t="s">
        <v>216</v>
      </c>
      <c r="J172" s="73" t="s">
        <v>175</v>
      </c>
      <c r="K172" s="73" t="s">
        <v>244</v>
      </c>
      <c r="L172" s="73" t="s">
        <v>245</v>
      </c>
      <c r="M172" s="73" t="s">
        <v>246</v>
      </c>
      <c r="N172" s="74" t="s">
        <v>247</v>
      </c>
      <c r="O172" s="296"/>
    </row>
    <row r="173" ht="15" customHeight="1">
      <c r="A173" s="75"/>
      <c r="B173" s="76" t="s">
        <v>248</v>
      </c>
      <c r="C173" s="76" t="s">
        <v>249</v>
      </c>
      <c r="D173" s="79" t="s">
        <v>250</v>
      </c>
      <c r="E173" s="76"/>
      <c r="F173" s="76"/>
      <c r="G173" s="76"/>
      <c r="H173" s="76"/>
      <c r="I173" s="76"/>
      <c r="J173" s="76"/>
      <c r="K173" s="76"/>
      <c r="L173" s="76"/>
      <c r="M173" s="76"/>
      <c r="N173" s="77"/>
      <c r="O173" s="296"/>
    </row>
    <row r="174" ht="15" customHeight="1">
      <c r="A174" s="182">
        <f>A94</f>
        <v>101</v>
      </c>
      <c r="B174" s="183">
        <f>INPUT!AR3</f>
        <v>0.60695545900194237</v>
      </c>
      <c r="C174" s="183">
        <f>INPUT!AS3</f>
        <v>-0.5613011256267133</v>
      </c>
      <c r="D174" s="60" t="str">
        <f>IF(B174&lt;=0,"Positive","Negative")</f>
        <v>Negative</v>
      </c>
      <c r="E174" s="183">
        <f>INPUT!AV3</f>
        <v>1360.1280922046149</v>
      </c>
      <c r="F174" s="184">
        <f>INPUT!I3/SQRT(12*(1+E174*INPUT!O3/(3*INPUT!I3*INPUT!J3)))</f>
        <v>118.06415136368361</v>
      </c>
      <c r="G174" s="185">
        <f>(INPUT!J3*INPUT!I3^2)/6</f>
        <v>916666.66666666663</v>
      </c>
      <c r="H174" s="131">
        <f>IF(INPUT!H3=1,0,(H94*1.25+K94*1.25+L94*1.5+1.5*N94)/G174*10^6)</f>
        <v>9.5410629309398463</v>
      </c>
      <c r="I174" s="184">
        <f>1*1*PI()^2*INPUT!$B$2/((B94/F174)^2)</f>
        <v>0</v>
      </c>
      <c r="J174" s="183">
        <f>1*F174*SQRT(INPUT!$B$2/INPUT!AO3)</f>
        <v>0</v>
      </c>
      <c r="K174" s="131">
        <f>IF(D174="Positive",IF(B94&lt;=IF(B174=0,0,1.2*J174*SQRT(1*1*INPUT!AO3/ABS(B174))),H174,H174*MAX(0.85/(1-ABS(B174)/I174),1)),H174)</f>
        <v>9.5410629309398463</v>
      </c>
      <c r="L174" s="180">
        <f>0.6*INPUT!AO3</f>
        <v>228</v>
      </c>
      <c r="M174" s="393" t="str">
        <f>IF(ABS(K174)&lt;=L174,"OK","NG")</f>
        <v>OK</v>
      </c>
      <c r="N174" s="186">
        <f>IF(K174=0,"Inf",L174/ABS(K174))</f>
        <v>23.896708537645161</v>
      </c>
      <c r="O174" s="296"/>
    </row>
    <row r="175">
      <c r="A175" s="182">
        <f>A95</f>
        <v>101</v>
      </c>
      <c r="B175" s="183">
        <f>INPUT!AR4</f>
        <v>0.60695545900194237</v>
      </c>
      <c r="C175" s="183">
        <f>INPUT!AS4</f>
        <v>-0.5613011256267133</v>
      </c>
      <c r="D175" s="60" t="str">
        <f>IF(B175&lt;=0,"Positive","Negative")</f>
        <v>Negative</v>
      </c>
      <c r="E175" s="183">
        <f>INPUT!AV4</f>
        <v>1360.1280922046149</v>
      </c>
      <c r="F175" s="184">
        <f>INPUT!I4/SQRT(12*(1+E175*INPUT!O4/(3*INPUT!I4*INPUT!J4)))</f>
        <v>118.06415136368361</v>
      </c>
      <c r="G175" s="185">
        <f>(INPUT!J4*INPUT!I4^2)/6</f>
        <v>916666.66666666663</v>
      </c>
      <c r="H175" s="131">
        <f>IF(INPUT!H4=1,0,(H95*1.25+K95*1.25+L95*1.5+1.5*N95)/G175*10^6)</f>
        <v>9.5410629309398463</v>
      </c>
      <c r="I175" s="184">
        <f>1*1*PI()^2*INPUT!$B$2/((B95/F175)^2)</f>
        <v>0</v>
      </c>
      <c r="J175" s="183">
        <f>1*F175*SQRT(INPUT!$B$2/INPUT!AO4)</f>
        <v>0</v>
      </c>
      <c r="K175" s="131">
        <f>IF(D175="Positive",IF(B95&lt;=IF(B175=0,0,1.2*J175*SQRT(1*1*INPUT!AO4/ABS(B175))),H175,H175*MAX(0.85/(1-ABS(B175)/I175),1)),H175)</f>
        <v>9.5410629309398463</v>
      </c>
      <c r="L175" s="180">
        <f>0.6*INPUT!AO4</f>
        <v>228</v>
      </c>
      <c r="M175" s="393" t="str">
        <f>IF(ABS(K175)&lt;=L175,"OK","NG")</f>
        <v>OK</v>
      </c>
      <c r="N175" s="186">
        <f>IF(K175=0,"Inf",L175/ABS(K175))</f>
        <v>23.896708537645161</v>
      </c>
      <c r="O175" s="296"/>
    </row>
    <row r="176">
      <c r="A176" s="182">
        <f>A96</f>
        <v>101</v>
      </c>
      <c r="B176" s="183">
        <f>INPUT!AR5</f>
        <v>0.60695545900194237</v>
      </c>
      <c r="C176" s="183">
        <f>INPUT!AS5</f>
        <v>-0.5613011256267133</v>
      </c>
      <c r="D176" s="60" t="str">
        <f>IF(B176&lt;=0,"Positive","Negative")</f>
        <v>Negative</v>
      </c>
      <c r="E176" s="183">
        <f>INPUT!AV5</f>
        <v>1360.1280922046149</v>
      </c>
      <c r="F176" s="184">
        <f>INPUT!I5/SQRT(12*(1+E176*INPUT!O5/(3*INPUT!I5*INPUT!J5)))</f>
        <v>118.06415136368361</v>
      </c>
      <c r="G176" s="185">
        <f>(INPUT!J5*INPUT!I5^2)/6</f>
        <v>916666.66666666663</v>
      </c>
      <c r="H176" s="131">
        <f>IF(INPUT!H5=1,0,(H96*1.25+K96*1.25+L96*1.5+1.5*N96)/G176*10^6)</f>
        <v>9.5410629309398463</v>
      </c>
      <c r="I176" s="184">
        <f>1*1*PI()^2*INPUT!$B$2/((B96/F176)^2)</f>
        <v>0</v>
      </c>
      <c r="J176" s="183">
        <f>1*F176*SQRT(INPUT!$B$2/INPUT!AO5)</f>
        <v>0</v>
      </c>
      <c r="K176" s="131">
        <f>IF(D176="Positive",IF(B96&lt;=IF(B176=0,0,1.2*J176*SQRT(1*1*INPUT!AO5/ABS(B176))),H176,H176*MAX(0.85/(1-ABS(B176)/I176),1)),H176)</f>
        <v>9.5410629309398463</v>
      </c>
      <c r="L176" s="180">
        <f>0.6*INPUT!AO5</f>
        <v>228</v>
      </c>
      <c r="M176" s="393" t="str">
        <f>IF(ABS(K176)&lt;=L176,"OK","NG")</f>
        <v>OK</v>
      </c>
      <c r="N176" s="186">
        <f>IF(K176=0,"Inf",L176/ABS(K176))</f>
        <v>23.896708537645161</v>
      </c>
      <c r="O176" s="296"/>
    </row>
    <row r="177">
      <c r="A177" s="182">
        <f>A97</f>
        <v>101</v>
      </c>
      <c r="B177" s="183">
        <f>INPUT!AR6</f>
        <v>0.60695545900194237</v>
      </c>
      <c r="C177" s="183">
        <f>INPUT!AS6</f>
        <v>-0.5613011256267133</v>
      </c>
      <c r="D177" s="60" t="str">
        <f>IF(B177&lt;=0,"Positive","Negative")</f>
        <v>Negative</v>
      </c>
      <c r="E177" s="183">
        <f>INPUT!AV6</f>
        <v>1360.1280922046149</v>
      </c>
      <c r="F177" s="184">
        <f>INPUT!I6/SQRT(12*(1+E177*INPUT!O6/(3*INPUT!I6*INPUT!J6)))</f>
        <v>118.06415136368361</v>
      </c>
      <c r="G177" s="185">
        <f>(INPUT!J6*INPUT!I6^2)/6</f>
        <v>916666.66666666663</v>
      </c>
      <c r="H177" s="131">
        <f>IF(INPUT!H6=1,0,(H97*1.25+K97*1.25+L97*1.5+1.5*N97)/G177*10^6)</f>
        <v>9.5410629309398463</v>
      </c>
      <c r="I177" s="184">
        <f>1*1*PI()^2*INPUT!$B$2/((B97/F177)^2)</f>
        <v>0</v>
      </c>
      <c r="J177" s="183">
        <f>1*F177*SQRT(INPUT!$B$2/INPUT!AO6)</f>
        <v>0</v>
      </c>
      <c r="K177" s="131">
        <f>IF(D177="Positive",IF(B97&lt;=IF(B177=0,0,1.2*J177*SQRT(1*1*INPUT!AO6/ABS(B177))),H177,H177*MAX(0.85/(1-ABS(B177)/I177),1)),H177)</f>
        <v>9.5410629309398463</v>
      </c>
      <c r="L177" s="180">
        <f>0.6*INPUT!AO6</f>
        <v>228</v>
      </c>
      <c r="M177" s="393" t="str">
        <f>IF(ABS(K177)&lt;=L177,"OK","NG")</f>
        <v>OK</v>
      </c>
      <c r="N177" s="186">
        <f>IF(K177=0,"Inf",L177/ABS(K177))</f>
        <v>23.896708537645161</v>
      </c>
      <c r="O177" s="296"/>
    </row>
    <row r="178">
      <c r="A178" s="182">
        <f>A98</f>
        <v>101</v>
      </c>
      <c r="B178" s="183">
        <f>INPUT!AR7</f>
        <v>0.60695545900194237</v>
      </c>
      <c r="C178" s="183">
        <f>INPUT!AS7</f>
        <v>-0.5613011256267133</v>
      </c>
      <c r="D178" s="60" t="str">
        <f>IF(B178&lt;=0,"Positive","Negative")</f>
        <v>Negative</v>
      </c>
      <c r="E178" s="183">
        <f>INPUT!AV7</f>
        <v>1360.1280922046149</v>
      </c>
      <c r="F178" s="184">
        <f>INPUT!I7/SQRT(12*(1+E178*INPUT!O7/(3*INPUT!I7*INPUT!J7)))</f>
        <v>118.06415136368361</v>
      </c>
      <c r="G178" s="185">
        <f>(INPUT!J7*INPUT!I7^2)/6</f>
        <v>916666.66666666663</v>
      </c>
      <c r="H178" s="131">
        <f>IF(INPUT!H7=1,0,(H98*1.25+K98*1.25+L98*1.5+1.5*N98)/G178*10^6)</f>
        <v>9.5410629309398463</v>
      </c>
      <c r="I178" s="184">
        <f>1*1*PI()^2*INPUT!$B$2/((B98/F178)^2)</f>
        <v>0</v>
      </c>
      <c r="J178" s="183">
        <f>1*F178*SQRT(INPUT!$B$2/INPUT!AO7)</f>
        <v>0</v>
      </c>
      <c r="K178" s="131">
        <f>IF(D178="Positive",IF(B98&lt;=IF(B178=0,0,1.2*J178*SQRT(1*1*INPUT!AO7/ABS(B178))),H178,H178*MAX(0.85/(1-ABS(B178)/I178),1)),H178)</f>
        <v>9.5410629309398463</v>
      </c>
      <c r="L178" s="180">
        <f>0.6*INPUT!AO7</f>
        <v>228</v>
      </c>
      <c r="M178" s="393" t="str">
        <f>IF(ABS(K178)&lt;=L178,"OK","NG")</f>
        <v>OK</v>
      </c>
      <c r="N178" s="186">
        <f>IF(K178=0,"Inf",L178/ABS(K178))</f>
        <v>23.896708537645161</v>
      </c>
      <c r="O178" s="296"/>
    </row>
    <row r="179">
      <c r="A179" s="182">
        <f>A99</f>
        <v>101</v>
      </c>
      <c r="B179" s="183">
        <f>INPUT!AR8</f>
        <v>0.60695545900194237</v>
      </c>
      <c r="C179" s="183">
        <f>INPUT!AS8</f>
        <v>-0.5613011256267133</v>
      </c>
      <c r="D179" s="60" t="str">
        <f>IF(B179&lt;=0,"Positive","Negative")</f>
        <v>Negative</v>
      </c>
      <c r="E179" s="183">
        <f>INPUT!AV8</f>
        <v>1360.1280922046149</v>
      </c>
      <c r="F179" s="184">
        <f>INPUT!I8/SQRT(12*(1+E179*INPUT!O8/(3*INPUT!I8*INPUT!J8)))</f>
        <v>118.06415136368361</v>
      </c>
      <c r="G179" s="185">
        <f>(INPUT!J8*INPUT!I8^2)/6</f>
        <v>916666.66666666663</v>
      </c>
      <c r="H179" s="131">
        <f>IF(INPUT!H8=1,0,(H99*1.25+K99*1.25+L99*1.5+1.5*N99)/G179*10^6)</f>
        <v>9.5410629309398463</v>
      </c>
      <c r="I179" s="184">
        <f>1*1*PI()^2*INPUT!$B$2/((B99/F179)^2)</f>
        <v>0</v>
      </c>
      <c r="J179" s="183">
        <f>1*F179*SQRT(INPUT!$B$2/INPUT!AO8)</f>
        <v>0</v>
      </c>
      <c r="K179" s="131">
        <f>IF(D179="Positive",IF(B99&lt;=IF(B179=0,0,1.2*J179*SQRT(1*1*INPUT!AO8/ABS(B179))),H179,H179*MAX(0.85/(1-ABS(B179)/I179),1)),H179)</f>
        <v>9.5410629309398463</v>
      </c>
      <c r="L179" s="180">
        <f>0.6*INPUT!AO8</f>
        <v>228</v>
      </c>
      <c r="M179" s="393" t="str">
        <f>IF(ABS(K179)&lt;=L179,"OK","NG")</f>
        <v>OK</v>
      </c>
      <c r="N179" s="186">
        <f>IF(K179=0,"Inf",L179/ABS(K179))</f>
        <v>23.896708537645161</v>
      </c>
      <c r="O179" s="296"/>
    </row>
    <row r="180">
      <c r="A180" s="182">
        <f>A100</f>
        <v>101</v>
      </c>
      <c r="B180" s="183">
        <f>INPUT!AR9</f>
        <v>0.60695545900194237</v>
      </c>
      <c r="C180" s="183">
        <f>INPUT!AS9</f>
        <v>-0.5613011256267133</v>
      </c>
      <c r="D180" s="60" t="str">
        <f>IF(B180&lt;=0,"Positive","Negative")</f>
        <v>Negative</v>
      </c>
      <c r="E180" s="183">
        <f>INPUT!AV9</f>
        <v>1360.1280922046149</v>
      </c>
      <c r="F180" s="184">
        <f>INPUT!I9/SQRT(12*(1+E180*INPUT!O9/(3*INPUT!I9*INPUT!J9)))</f>
        <v>118.06415136368361</v>
      </c>
      <c r="G180" s="185">
        <f>(INPUT!J9*INPUT!I9^2)/6</f>
        <v>916666.66666666663</v>
      </c>
      <c r="H180" s="131">
        <f>IF(INPUT!H9=1,0,(H100*1.25+K100*1.25+L100*1.5+1.5*N100)/G180*10^6)</f>
        <v>9.5410629309398463</v>
      </c>
      <c r="I180" s="184">
        <f>1*1*PI()^2*INPUT!$B$2/((B100/F180)^2)</f>
        <v>0</v>
      </c>
      <c r="J180" s="183">
        <f>1*F180*SQRT(INPUT!$B$2/INPUT!AO9)</f>
        <v>0</v>
      </c>
      <c r="K180" s="131">
        <f>IF(D180="Positive",IF(B100&lt;=IF(B180=0,0,1.2*J180*SQRT(1*1*INPUT!AO9/ABS(B180))),H180,H180*MAX(0.85/(1-ABS(B180)/I180),1)),H180)</f>
        <v>9.5410629309398463</v>
      </c>
      <c r="L180" s="180">
        <f>0.6*INPUT!AO9</f>
        <v>228</v>
      </c>
      <c r="M180" s="393" t="str">
        <f>IF(ABS(K180)&lt;=L180,"OK","NG")</f>
        <v>OK</v>
      </c>
      <c r="N180" s="186">
        <f>IF(K180=0,"Inf",L180/ABS(K180))</f>
        <v>23.896708537645161</v>
      </c>
      <c r="O180" s="296"/>
    </row>
    <row r="181">
      <c r="A181" s="182">
        <f>A101</f>
        <v>101</v>
      </c>
      <c r="B181" s="183">
        <f>INPUT!AR10</f>
        <v>0.60695545900194237</v>
      </c>
      <c r="C181" s="183">
        <f>INPUT!AS10</f>
        <v>-0.5613011256267133</v>
      </c>
      <c r="D181" s="60" t="str">
        <f>IF(B181&lt;=0,"Positive","Negative")</f>
        <v>Negative</v>
      </c>
      <c r="E181" s="183">
        <f>INPUT!AV10</f>
        <v>1360.1280922046149</v>
      </c>
      <c r="F181" s="184">
        <f>INPUT!I10/SQRT(12*(1+E181*INPUT!O10/(3*INPUT!I10*INPUT!J10)))</f>
        <v>118.06415136368361</v>
      </c>
      <c r="G181" s="185">
        <f>(INPUT!J10*INPUT!I10^2)/6</f>
        <v>916666.66666666663</v>
      </c>
      <c r="H181" s="131">
        <f>IF(INPUT!H10=1,0,(H101*1.25+K101*1.25+L101*1.5+1.5*N101)/G181*10^6)</f>
        <v>9.5410629309398463</v>
      </c>
      <c r="I181" s="184">
        <f>1*1*PI()^2*INPUT!$B$2/((B101/F181)^2)</f>
        <v>0</v>
      </c>
      <c r="J181" s="183">
        <f>1*F181*SQRT(INPUT!$B$2/INPUT!AO10)</f>
        <v>0</v>
      </c>
      <c r="K181" s="131">
        <f>IF(D181="Positive",IF(B101&lt;=IF(B181=0,0,1.2*J181*SQRT(1*1*INPUT!AO10/ABS(B181))),H181,H181*MAX(0.85/(1-ABS(B181)/I181),1)),H181)</f>
        <v>9.5410629309398463</v>
      </c>
      <c r="L181" s="180">
        <f>0.6*INPUT!AO10</f>
        <v>228</v>
      </c>
      <c r="M181" s="393" t="str">
        <f>IF(ABS(K181)&lt;=L181,"OK","NG")</f>
        <v>OK</v>
      </c>
      <c r="N181" s="186">
        <f>IF(K181=0,"Inf",L181/ABS(K181))</f>
        <v>23.896708537645161</v>
      </c>
      <c r="O181" s="296"/>
    </row>
    <row r="182">
      <c r="A182" s="182">
        <f>A102</f>
        <v>101</v>
      </c>
      <c r="B182" s="183">
        <f>INPUT!AR11</f>
        <v>0.60695545900194237</v>
      </c>
      <c r="C182" s="183">
        <f>INPUT!AS11</f>
        <v>-0.5613011256267133</v>
      </c>
      <c r="D182" s="60" t="str">
        <f>IF(B182&lt;=0,"Positive","Negative")</f>
        <v>Negative</v>
      </c>
      <c r="E182" s="183">
        <f>INPUT!AV11</f>
        <v>1360.1280922046149</v>
      </c>
      <c r="F182" s="184">
        <f>INPUT!I11/SQRT(12*(1+E182*INPUT!O11/(3*INPUT!I11*INPUT!J11)))</f>
        <v>118.06415136368361</v>
      </c>
      <c r="G182" s="185">
        <f>(INPUT!J11*INPUT!I11^2)/6</f>
        <v>916666.66666666663</v>
      </c>
      <c r="H182" s="131">
        <f>IF(INPUT!H11=1,0,(H102*1.25+K102*1.25+L102*1.5+1.5*N102)/G182*10^6)</f>
        <v>9.5410629309398463</v>
      </c>
      <c r="I182" s="184">
        <f>1*1*PI()^2*INPUT!$B$2/((B102/F182)^2)</f>
        <v>0</v>
      </c>
      <c r="J182" s="183">
        <f>1*F182*SQRT(INPUT!$B$2/INPUT!AO11)</f>
        <v>0</v>
      </c>
      <c r="K182" s="131">
        <f>IF(D182="Positive",IF(B102&lt;=IF(B182=0,0,1.2*J182*SQRT(1*1*INPUT!AO11/ABS(B182))),H182,H182*MAX(0.85/(1-ABS(B182)/I182),1)),H182)</f>
        <v>9.5410629309398463</v>
      </c>
      <c r="L182" s="180">
        <f>0.6*INPUT!AO11</f>
        <v>228</v>
      </c>
      <c r="M182" s="393" t="str">
        <f>IF(ABS(K182)&lt;=L182,"OK","NG")</f>
        <v>OK</v>
      </c>
      <c r="N182" s="186">
        <f>IF(K182=0,"Inf",L182/ABS(K182))</f>
        <v>23.896708537645161</v>
      </c>
      <c r="O182" s="296"/>
    </row>
    <row r="183">
      <c r="A183" s="182">
        <f>A103</f>
        <v>101</v>
      </c>
      <c r="B183" s="183">
        <f>INPUT!AR12</f>
        <v>0.60695545900194237</v>
      </c>
      <c r="C183" s="183">
        <f>INPUT!AS12</f>
        <v>-0.5613011256267133</v>
      </c>
      <c r="D183" s="60" t="str">
        <f>IF(B183&lt;=0,"Positive","Negative")</f>
        <v>Negative</v>
      </c>
      <c r="E183" s="183">
        <f>INPUT!AV12</f>
        <v>1360.1280922046149</v>
      </c>
      <c r="F183" s="184">
        <f>INPUT!I12/SQRT(12*(1+E183*INPUT!O12/(3*INPUT!I12*INPUT!J12)))</f>
        <v>118.06415136368361</v>
      </c>
      <c r="G183" s="185">
        <f>(INPUT!J12*INPUT!I12^2)/6</f>
        <v>916666.66666666663</v>
      </c>
      <c r="H183" s="131">
        <f>IF(INPUT!H12=1,0,(H103*1.25+K103*1.25+L103*1.5+1.5*N103)/G183*10^6)</f>
        <v>9.5410629309398463</v>
      </c>
      <c r="I183" s="184">
        <f>1*1*PI()^2*INPUT!$B$2/((B103/F183)^2)</f>
        <v>0</v>
      </c>
      <c r="J183" s="183">
        <f>1*F183*SQRT(INPUT!$B$2/INPUT!AO12)</f>
        <v>0</v>
      </c>
      <c r="K183" s="131">
        <f>IF(D183="Positive",IF(B103&lt;=IF(B183=0,0,1.2*J183*SQRT(1*1*INPUT!AO12/ABS(B183))),H183,H183*MAX(0.85/(1-ABS(B183)/I183),1)),H183)</f>
        <v>9.5410629309398463</v>
      </c>
      <c r="L183" s="180">
        <f>0.6*INPUT!AO12</f>
        <v>228</v>
      </c>
      <c r="M183" s="393" t="str">
        <f>IF(ABS(K183)&lt;=L183,"OK","NG")</f>
        <v>OK</v>
      </c>
      <c r="N183" s="186">
        <f>IF(K183=0,"Inf",L183/ABS(K183))</f>
        <v>23.896708537645161</v>
      </c>
      <c r="O183" s="296"/>
    </row>
    <row r="184">
      <c r="A184" s="182">
        <f>A104</f>
        <v>101</v>
      </c>
      <c r="B184" s="183">
        <f>INPUT!AR13</f>
        <v>0.60695545900194237</v>
      </c>
      <c r="C184" s="183">
        <f>INPUT!AS13</f>
        <v>-0.5613011256267133</v>
      </c>
      <c r="D184" s="60" t="str">
        <f>IF(B184&lt;=0,"Positive","Negative")</f>
        <v>Negative</v>
      </c>
      <c r="E184" s="183">
        <f>INPUT!AV13</f>
        <v>1360.1280922046149</v>
      </c>
      <c r="F184" s="184">
        <f>INPUT!I13/SQRT(12*(1+E184*INPUT!O13/(3*INPUT!I13*INPUT!J13)))</f>
        <v>118.06415136368361</v>
      </c>
      <c r="G184" s="185">
        <f>(INPUT!J13*INPUT!I13^2)/6</f>
        <v>916666.66666666663</v>
      </c>
      <c r="H184" s="131">
        <f>IF(INPUT!H13=1,0,(H104*1.25+K104*1.25+L104*1.5+1.5*N104)/G184*10^6)</f>
        <v>9.5410629309398463</v>
      </c>
      <c r="I184" s="184">
        <f>1*1*PI()^2*INPUT!$B$2/((B104/F184)^2)</f>
        <v>0</v>
      </c>
      <c r="J184" s="183">
        <f>1*F184*SQRT(INPUT!$B$2/INPUT!AO13)</f>
        <v>0</v>
      </c>
      <c r="K184" s="131">
        <f>IF(D184="Positive",IF(B104&lt;=IF(B184=0,0,1.2*J184*SQRT(1*1*INPUT!AO13/ABS(B184))),H184,H184*MAX(0.85/(1-ABS(B184)/I184),1)),H184)</f>
        <v>9.5410629309398463</v>
      </c>
      <c r="L184" s="180">
        <f>0.6*INPUT!AO13</f>
        <v>228</v>
      </c>
      <c r="M184" s="393" t="str">
        <f>IF(ABS(K184)&lt;=L184,"OK","NG")</f>
        <v>OK</v>
      </c>
      <c r="N184" s="186">
        <f>IF(K184=0,"Inf",L184/ABS(K184))</f>
        <v>23.896708537645161</v>
      </c>
      <c r="O184" s="296"/>
    </row>
    <row r="185">
      <c r="A185" s="182">
        <f>A105</f>
        <v>101</v>
      </c>
      <c r="B185" s="183">
        <f>INPUT!AR14</f>
        <v>0.60695545900194237</v>
      </c>
      <c r="C185" s="183">
        <f>INPUT!AS14</f>
        <v>-0.5613011256267133</v>
      </c>
      <c r="D185" s="60" t="str">
        <f>IF(B185&lt;=0,"Positive","Negative")</f>
        <v>Negative</v>
      </c>
      <c r="E185" s="183">
        <f>INPUT!AV14</f>
        <v>1360.1280922046149</v>
      </c>
      <c r="F185" s="184">
        <f>INPUT!I14/SQRT(12*(1+E185*INPUT!O14/(3*INPUT!I14*INPUT!J14)))</f>
        <v>118.06415136368361</v>
      </c>
      <c r="G185" s="185">
        <f>(INPUT!J14*INPUT!I14^2)/6</f>
        <v>916666.66666666663</v>
      </c>
      <c r="H185" s="131">
        <f>IF(INPUT!H14=1,0,(H105*1.25+K105*1.25+L105*1.5+1.5*N105)/G185*10^6)</f>
        <v>9.5410629309398463</v>
      </c>
      <c r="I185" s="184">
        <f>1*1*PI()^2*INPUT!$B$2/((B105/F185)^2)</f>
        <v>0</v>
      </c>
      <c r="J185" s="183">
        <f>1*F185*SQRT(INPUT!$B$2/INPUT!AO14)</f>
        <v>0</v>
      </c>
      <c r="K185" s="131">
        <f>IF(D185="Positive",IF(B105&lt;=IF(B185=0,0,1.2*J185*SQRT(1*1*INPUT!AO14/ABS(B185))),H185,H185*MAX(0.85/(1-ABS(B185)/I185),1)),H185)</f>
        <v>9.5410629309398463</v>
      </c>
      <c r="L185" s="180">
        <f>0.6*INPUT!AO14</f>
        <v>228</v>
      </c>
      <c r="M185" s="393" t="str">
        <f>IF(ABS(K185)&lt;=L185,"OK","NG")</f>
        <v>OK</v>
      </c>
      <c r="N185" s="186">
        <f>IF(K185=0,"Inf",L185/ABS(K185))</f>
        <v>23.896708537645161</v>
      </c>
      <c r="O185" s="296"/>
    </row>
    <row r="186">
      <c r="A186" s="182">
        <f>A106</f>
        <v>101</v>
      </c>
      <c r="B186" s="183">
        <f>INPUT!AR15</f>
        <v>0.60695545900194237</v>
      </c>
      <c r="C186" s="183">
        <f>INPUT!AS15</f>
        <v>-0.5613011256267133</v>
      </c>
      <c r="D186" s="60" t="str">
        <f>IF(B186&lt;=0,"Positive","Negative")</f>
        <v>Negative</v>
      </c>
      <c r="E186" s="183">
        <f>INPUT!AV15</f>
        <v>1360.1280922046149</v>
      </c>
      <c r="F186" s="184">
        <f>INPUT!I15/SQRT(12*(1+E186*INPUT!O15/(3*INPUT!I15*INPUT!J15)))</f>
        <v>118.06415136368361</v>
      </c>
      <c r="G186" s="185">
        <f>(INPUT!J15*INPUT!I15^2)/6</f>
        <v>916666.66666666663</v>
      </c>
      <c r="H186" s="131">
        <f>IF(INPUT!H15=1,0,(H106*1.25+K106*1.25+L106*1.5+1.5*N106)/G186*10^6)</f>
        <v>9.5410629309398463</v>
      </c>
      <c r="I186" s="184">
        <f>1*1*PI()^2*INPUT!$B$2/((B106/F186)^2)</f>
        <v>0</v>
      </c>
      <c r="J186" s="183">
        <f>1*F186*SQRT(INPUT!$B$2/INPUT!AO15)</f>
        <v>0</v>
      </c>
      <c r="K186" s="131">
        <f>IF(D186="Positive",IF(B106&lt;=IF(B186=0,0,1.2*J186*SQRT(1*1*INPUT!AO15/ABS(B186))),H186,H186*MAX(0.85/(1-ABS(B186)/I186),1)),H186)</f>
        <v>9.5410629309398463</v>
      </c>
      <c r="L186" s="180">
        <f>0.6*INPUT!AO15</f>
        <v>228</v>
      </c>
      <c r="M186" s="393" t="str">
        <f>IF(ABS(K186)&lt;=L186,"OK","NG")</f>
        <v>OK</v>
      </c>
      <c r="N186" s="186">
        <f>IF(K186=0,"Inf",L186/ABS(K186))</f>
        <v>23.896708537645161</v>
      </c>
      <c r="O186" s="296"/>
    </row>
    <row r="187">
      <c r="A187" s="182">
        <f>A107</f>
        <v>101</v>
      </c>
      <c r="B187" s="183">
        <f>INPUT!AR16</f>
        <v>0.60695545900194237</v>
      </c>
      <c r="C187" s="183">
        <f>INPUT!AS16</f>
        <v>-0.5613011256267133</v>
      </c>
      <c r="D187" s="60" t="str">
        <f>IF(B187&lt;=0,"Positive","Negative")</f>
        <v>Negative</v>
      </c>
      <c r="E187" s="183">
        <f>INPUT!AV16</f>
        <v>1360.1280922046149</v>
      </c>
      <c r="F187" s="184">
        <f>INPUT!I16/SQRT(12*(1+E187*INPUT!O16/(3*INPUT!I16*INPUT!J16)))</f>
        <v>118.06415136368361</v>
      </c>
      <c r="G187" s="185">
        <f>(INPUT!J16*INPUT!I16^2)/6</f>
        <v>916666.66666666663</v>
      </c>
      <c r="H187" s="131">
        <f>IF(INPUT!H16=1,0,(H107*1.25+K107*1.25+L107*1.5+1.5*N107)/G187*10^6)</f>
        <v>9.5410629309398463</v>
      </c>
      <c r="I187" s="184">
        <f>1*1*PI()^2*INPUT!$B$2/((B107/F187)^2)</f>
        <v>0</v>
      </c>
      <c r="J187" s="183">
        <f>1*F187*SQRT(INPUT!$B$2/INPUT!AO16)</f>
        <v>0</v>
      </c>
      <c r="K187" s="131">
        <f>IF(D187="Positive",IF(B107&lt;=IF(B187=0,0,1.2*J187*SQRT(1*1*INPUT!AO16/ABS(B187))),H187,H187*MAX(0.85/(1-ABS(B187)/I187),1)),H187)</f>
        <v>9.5410629309398463</v>
      </c>
      <c r="L187" s="180">
        <f>0.6*INPUT!AO16</f>
        <v>228</v>
      </c>
      <c r="M187" s="393" t="str">
        <f>IF(ABS(K187)&lt;=L187,"OK","NG")</f>
        <v>OK</v>
      </c>
      <c r="N187" s="186">
        <f>IF(K187=0,"Inf",L187/ABS(K187))</f>
        <v>23.896708537645161</v>
      </c>
      <c r="O187" s="296"/>
    </row>
    <row r="188">
      <c r="A188" s="182">
        <f>A108</f>
        <v>101</v>
      </c>
      <c r="B188" s="183">
        <f>INPUT!AR17</f>
        <v>0.60695545900194237</v>
      </c>
      <c r="C188" s="183">
        <f>INPUT!AS17</f>
        <v>-0.5613011256267133</v>
      </c>
      <c r="D188" s="60" t="str">
        <f>IF(B188&lt;=0,"Positive","Negative")</f>
        <v>Negative</v>
      </c>
      <c r="E188" s="183">
        <f>INPUT!AV17</f>
        <v>1360.1280922046149</v>
      </c>
      <c r="F188" s="184">
        <f>INPUT!I17/SQRT(12*(1+E188*INPUT!O17/(3*INPUT!I17*INPUT!J17)))</f>
        <v>118.06415136368361</v>
      </c>
      <c r="G188" s="185">
        <f>(INPUT!J17*INPUT!I17^2)/6</f>
        <v>916666.66666666663</v>
      </c>
      <c r="H188" s="131">
        <f>IF(INPUT!H17=1,0,(H108*1.25+K108*1.25+L108*1.5+1.5*N108)/G188*10^6)</f>
        <v>9.5410629309398463</v>
      </c>
      <c r="I188" s="184">
        <f>1*1*PI()^2*INPUT!$B$2/((B108/F188)^2)</f>
        <v>0</v>
      </c>
      <c r="J188" s="183">
        <f>1*F188*SQRT(INPUT!$B$2/INPUT!AO17)</f>
        <v>0</v>
      </c>
      <c r="K188" s="131">
        <f>IF(D188="Positive",IF(B108&lt;=IF(B188=0,0,1.2*J188*SQRT(1*1*INPUT!AO17/ABS(B188))),H188,H188*MAX(0.85/(1-ABS(B188)/I188),1)),H188)</f>
        <v>9.5410629309398463</v>
      </c>
      <c r="L188" s="180">
        <f>0.6*INPUT!AO17</f>
        <v>228</v>
      </c>
      <c r="M188" s="393" t="str">
        <f>IF(ABS(K188)&lt;=L188,"OK","NG")</f>
        <v>OK</v>
      </c>
      <c r="N188" s="186">
        <f>IF(K188=0,"Inf",L188/ABS(K188))</f>
        <v>23.896708537645161</v>
      </c>
      <c r="O188" s="296"/>
    </row>
    <row r="189">
      <c r="A189" s="182">
        <f>A109</f>
        <v>101</v>
      </c>
      <c r="B189" s="183">
        <f>INPUT!AR18</f>
        <v>0.60695545900194237</v>
      </c>
      <c r="C189" s="183">
        <f>INPUT!AS18</f>
        <v>-0.5613011256267133</v>
      </c>
      <c r="D189" s="60" t="str">
        <f>IF(B189&lt;=0,"Positive","Negative")</f>
        <v>Negative</v>
      </c>
      <c r="E189" s="183">
        <f>INPUT!AV18</f>
        <v>1360.1280922046149</v>
      </c>
      <c r="F189" s="184">
        <f>INPUT!I18/SQRT(12*(1+E189*INPUT!O18/(3*INPUT!I18*INPUT!J18)))</f>
        <v>118.06415136368361</v>
      </c>
      <c r="G189" s="185">
        <f>(INPUT!J18*INPUT!I18^2)/6</f>
        <v>916666.66666666663</v>
      </c>
      <c r="H189" s="131">
        <f>IF(INPUT!H18=1,0,(H109*1.25+K109*1.25+L109*1.5+1.5*N109)/G189*10^6)</f>
        <v>9.5410629309398463</v>
      </c>
      <c r="I189" s="184">
        <f>1*1*PI()^2*INPUT!$B$2/((B109/F189)^2)</f>
        <v>0</v>
      </c>
      <c r="J189" s="183">
        <f>1*F189*SQRT(INPUT!$B$2/INPUT!AO18)</f>
        <v>0</v>
      </c>
      <c r="K189" s="131">
        <f>IF(D189="Positive",IF(B109&lt;=IF(B189=0,0,1.2*J189*SQRT(1*1*INPUT!AO18/ABS(B189))),H189,H189*MAX(0.85/(1-ABS(B189)/I189),1)),H189)</f>
        <v>9.5410629309398463</v>
      </c>
      <c r="L189" s="180">
        <f>0.6*INPUT!AO18</f>
        <v>228</v>
      </c>
      <c r="M189" s="393" t="str">
        <f>IF(ABS(K189)&lt;=L189,"OK","NG")</f>
        <v>OK</v>
      </c>
      <c r="N189" s="186">
        <f>IF(K189=0,"Inf",L189/ABS(K189))</f>
        <v>23.896708537645161</v>
      </c>
      <c r="O189" s="296"/>
    </row>
    <row r="190">
      <c r="A190" s="182">
        <f>A110</f>
        <v>101</v>
      </c>
      <c r="B190" s="183">
        <f>INPUT!AR19</f>
        <v>0.60695545900194237</v>
      </c>
      <c r="C190" s="183">
        <f>INPUT!AS19</f>
        <v>-0.5613011256267133</v>
      </c>
      <c r="D190" s="60" t="str">
        <f>IF(B190&lt;=0,"Positive","Negative")</f>
        <v>Negative</v>
      </c>
      <c r="E190" s="183">
        <f>INPUT!AV19</f>
        <v>1360.1280922046149</v>
      </c>
      <c r="F190" s="184">
        <f>INPUT!I19/SQRT(12*(1+E190*INPUT!O19/(3*INPUT!I19*INPUT!J19)))</f>
        <v>118.06415136368361</v>
      </c>
      <c r="G190" s="185">
        <f>(INPUT!J19*INPUT!I19^2)/6</f>
        <v>916666.66666666663</v>
      </c>
      <c r="H190" s="131">
        <f>IF(INPUT!H19=1,0,(H110*1.25+K110*1.25+L110*1.5+1.5*N110)/G190*10^6)</f>
        <v>9.5410629309398463</v>
      </c>
      <c r="I190" s="184">
        <f>1*1*PI()^2*INPUT!$B$2/((B110/F190)^2)</f>
        <v>0</v>
      </c>
      <c r="J190" s="183">
        <f>1*F190*SQRT(INPUT!$B$2/INPUT!AO19)</f>
        <v>0</v>
      </c>
      <c r="K190" s="131">
        <f>IF(D190="Positive",IF(B110&lt;=IF(B190=0,0,1.2*J190*SQRT(1*1*INPUT!AO19/ABS(B190))),H190,H190*MAX(0.85/(1-ABS(B190)/I190),1)),H190)</f>
        <v>9.5410629309398463</v>
      </c>
      <c r="L190" s="180">
        <f>0.6*INPUT!AO19</f>
        <v>228</v>
      </c>
      <c r="M190" s="393" t="str">
        <f>IF(ABS(K190)&lt;=L190,"OK","NG")</f>
        <v>OK</v>
      </c>
      <c r="N190" s="186">
        <f>IF(K190=0,"Inf",L190/ABS(K190))</f>
        <v>23.896708537645161</v>
      </c>
      <c r="O190" s="296"/>
    </row>
    <row r="191">
      <c r="A191" s="182">
        <f>A111</f>
        <v>101</v>
      </c>
      <c r="B191" s="183">
        <f>INPUT!AR20</f>
        <v>0.60695545900194237</v>
      </c>
      <c r="C191" s="183">
        <f>INPUT!AS20</f>
        <v>-0.5613011256267133</v>
      </c>
      <c r="D191" s="60" t="str">
        <f>IF(B191&lt;=0,"Positive","Negative")</f>
        <v>Negative</v>
      </c>
      <c r="E191" s="183">
        <f>INPUT!AV20</f>
        <v>1360.1280922046149</v>
      </c>
      <c r="F191" s="184">
        <f>INPUT!I20/SQRT(12*(1+E191*INPUT!O20/(3*INPUT!I20*INPUT!J20)))</f>
        <v>118.06415136368361</v>
      </c>
      <c r="G191" s="185">
        <f>(INPUT!J20*INPUT!I20^2)/6</f>
        <v>916666.66666666663</v>
      </c>
      <c r="H191" s="131">
        <f>IF(INPUT!H20=1,0,(H111*1.25+K111*1.25+L111*1.5+1.5*N111)/G191*10^6)</f>
        <v>9.5410629309398463</v>
      </c>
      <c r="I191" s="184">
        <f>1*1*PI()^2*INPUT!$B$2/((B111/F191)^2)</f>
        <v>0</v>
      </c>
      <c r="J191" s="183">
        <f>1*F191*SQRT(INPUT!$B$2/INPUT!AO20)</f>
        <v>0</v>
      </c>
      <c r="K191" s="131">
        <f>IF(D191="Positive",IF(B111&lt;=IF(B191=0,0,1.2*J191*SQRT(1*1*INPUT!AO20/ABS(B191))),H191,H191*MAX(0.85/(1-ABS(B191)/I191),1)),H191)</f>
        <v>9.5410629309398463</v>
      </c>
      <c r="L191" s="180">
        <f>0.6*INPUT!AO20</f>
        <v>228</v>
      </c>
      <c r="M191" s="393" t="str">
        <f>IF(ABS(K191)&lt;=L191,"OK","NG")</f>
        <v>OK</v>
      </c>
      <c r="N191" s="186">
        <f>IF(K191=0,"Inf",L191/ABS(K191))</f>
        <v>23.896708537645161</v>
      </c>
      <c r="O191" s="296"/>
    </row>
    <row r="192">
      <c r="A192" s="182">
        <f>A112</f>
        <v>101</v>
      </c>
      <c r="B192" s="183">
        <f>INPUT!AR21</f>
        <v>0.60695545900194237</v>
      </c>
      <c r="C192" s="183">
        <f>INPUT!AS21</f>
        <v>-0.5613011256267133</v>
      </c>
      <c r="D192" s="60" t="str">
        <f>IF(B192&lt;=0,"Positive","Negative")</f>
        <v>Negative</v>
      </c>
      <c r="E192" s="183">
        <f>INPUT!AV21</f>
        <v>1360.1280922046149</v>
      </c>
      <c r="F192" s="184">
        <f>INPUT!I21/SQRT(12*(1+E192*INPUT!O21/(3*INPUT!I21*INPUT!J21)))</f>
        <v>118.06415136368361</v>
      </c>
      <c r="G192" s="185">
        <f>(INPUT!J21*INPUT!I21^2)/6</f>
        <v>916666.66666666663</v>
      </c>
      <c r="H192" s="131">
        <f>IF(INPUT!H21=1,0,(H112*1.25+K112*1.25+L112*1.5+1.5*N112)/G192*10^6)</f>
        <v>9.5410629309398463</v>
      </c>
      <c r="I192" s="184">
        <f>1*1*PI()^2*INPUT!$B$2/((B112/F192)^2)</f>
        <v>0</v>
      </c>
      <c r="J192" s="183">
        <f>1*F192*SQRT(INPUT!$B$2/INPUT!AO21)</f>
        <v>0</v>
      </c>
      <c r="K192" s="131">
        <f>IF(D192="Positive",IF(B112&lt;=IF(B192=0,0,1.2*J192*SQRT(1*1*INPUT!AO21/ABS(B192))),H192,H192*MAX(0.85/(1-ABS(B192)/I192),1)),H192)</f>
        <v>9.5410629309398463</v>
      </c>
      <c r="L192" s="180">
        <f>0.6*INPUT!AO21</f>
        <v>228</v>
      </c>
      <c r="M192" s="393" t="str">
        <f>IF(ABS(K192)&lt;=L192,"OK","NG")</f>
        <v>OK</v>
      </c>
      <c r="N192" s="186">
        <f>IF(K192=0,"Inf",L192/ABS(K192))</f>
        <v>23.896708537645161</v>
      </c>
      <c r="O192" s="296"/>
    </row>
    <row r="193">
      <c r="A193" s="182">
        <f>A113</f>
        <v>101</v>
      </c>
      <c r="B193" s="183">
        <f>INPUT!AR22</f>
        <v>0.60695545900194237</v>
      </c>
      <c r="C193" s="183">
        <f>INPUT!AS22</f>
        <v>-0.5613011256267133</v>
      </c>
      <c r="D193" s="60" t="str">
        <f>IF(B193&lt;=0,"Positive","Negative")</f>
        <v>Negative</v>
      </c>
      <c r="E193" s="183">
        <f>INPUT!AV22</f>
        <v>1360.1280922046149</v>
      </c>
      <c r="F193" s="184">
        <f>INPUT!I22/SQRT(12*(1+E193*INPUT!O22/(3*INPUT!I22*INPUT!J22)))</f>
        <v>118.06415136368361</v>
      </c>
      <c r="G193" s="185">
        <f>(INPUT!J22*INPUT!I22^2)/6</f>
        <v>916666.66666666663</v>
      </c>
      <c r="H193" s="131">
        <f>IF(INPUT!H22=1,0,(H113*1.25+K113*1.25+L113*1.5+1.5*N113)/G193*10^6)</f>
        <v>9.5410629309398463</v>
      </c>
      <c r="I193" s="184">
        <f>1*1*PI()^2*INPUT!$B$2/((B113/F193)^2)</f>
        <v>0</v>
      </c>
      <c r="J193" s="183">
        <f>1*F193*SQRT(INPUT!$B$2/INPUT!AO22)</f>
        <v>0</v>
      </c>
      <c r="K193" s="131">
        <f>IF(D193="Positive",IF(B113&lt;=IF(B193=0,0,1.2*J193*SQRT(1*1*INPUT!AO22/ABS(B193))),H193,H193*MAX(0.85/(1-ABS(B193)/I193),1)),H193)</f>
        <v>9.5410629309398463</v>
      </c>
      <c r="L193" s="180">
        <f>0.6*INPUT!AO22</f>
        <v>228</v>
      </c>
      <c r="M193" s="393" t="str">
        <f>IF(ABS(K193)&lt;=L193,"OK","NG")</f>
        <v>OK</v>
      </c>
      <c r="N193" s="186">
        <f>IF(K193=0,"Inf",L193/ABS(K193))</f>
        <v>23.896708537645161</v>
      </c>
      <c r="O193" s="296"/>
    </row>
    <row r="194">
      <c r="A194" s="182">
        <f>A114</f>
        <v>101</v>
      </c>
      <c r="B194" s="183">
        <f>INPUT!AR23</f>
        <v>0.60695545900194237</v>
      </c>
      <c r="C194" s="183">
        <f>INPUT!AS23</f>
        <v>-0.5613011256267133</v>
      </c>
      <c r="D194" s="60" t="str">
        <f>IF(B194&lt;=0,"Positive","Negative")</f>
        <v>Negative</v>
      </c>
      <c r="E194" s="183">
        <f>INPUT!AV23</f>
        <v>1360.1280922046149</v>
      </c>
      <c r="F194" s="184">
        <f>INPUT!I23/SQRT(12*(1+E194*INPUT!O23/(3*INPUT!I23*INPUT!J23)))</f>
        <v>118.06415136368361</v>
      </c>
      <c r="G194" s="185">
        <f>(INPUT!J23*INPUT!I23^2)/6</f>
        <v>916666.66666666663</v>
      </c>
      <c r="H194" s="131">
        <f>IF(INPUT!H23=1,0,(H114*1.25+K114*1.25+L114*1.5+1.5*N114)/G194*10^6)</f>
        <v>9.5410629309398463</v>
      </c>
      <c r="I194" s="184">
        <f>1*1*PI()^2*INPUT!$B$2/((B114/F194)^2)</f>
        <v>0</v>
      </c>
      <c r="J194" s="183">
        <f>1*F194*SQRT(INPUT!$B$2/INPUT!AO23)</f>
        <v>0</v>
      </c>
      <c r="K194" s="131">
        <f>IF(D194="Positive",IF(B114&lt;=IF(B194=0,0,1.2*J194*SQRT(1*1*INPUT!AO23/ABS(B194))),H194,H194*MAX(0.85/(1-ABS(B194)/I194),1)),H194)</f>
        <v>9.5410629309398463</v>
      </c>
      <c r="L194" s="180">
        <f>0.6*INPUT!AO23</f>
        <v>228</v>
      </c>
      <c r="M194" s="393" t="str">
        <f>IF(ABS(K194)&lt;=L194,"OK","NG")</f>
        <v>OK</v>
      </c>
      <c r="N194" s="186">
        <f>IF(K194=0,"Inf",L194/ABS(K194))</f>
        <v>23.896708537645161</v>
      </c>
      <c r="O194" s="296"/>
    </row>
    <row r="195">
      <c r="A195" s="182">
        <f>A115</f>
        <v>101</v>
      </c>
      <c r="B195" s="183">
        <f>INPUT!AR24</f>
        <v>0.60695545900194237</v>
      </c>
      <c r="C195" s="183">
        <f>INPUT!AS24</f>
        <v>-0.5613011256267133</v>
      </c>
      <c r="D195" s="60" t="str">
        <f>IF(B195&lt;=0,"Positive","Negative")</f>
        <v>Negative</v>
      </c>
      <c r="E195" s="183">
        <f>INPUT!AV24</f>
        <v>1360.1280922046149</v>
      </c>
      <c r="F195" s="184">
        <f>INPUT!I24/SQRT(12*(1+E195*INPUT!O24/(3*INPUT!I24*INPUT!J24)))</f>
        <v>118.06415136368361</v>
      </c>
      <c r="G195" s="185">
        <f>(INPUT!J24*INPUT!I24^2)/6</f>
        <v>916666.66666666663</v>
      </c>
      <c r="H195" s="131">
        <f>IF(INPUT!H24=1,0,(H115*1.25+K115*1.25+L115*1.5+1.5*N115)/G195*10^6)</f>
        <v>9.5410629309398463</v>
      </c>
      <c r="I195" s="184">
        <f>1*1*PI()^2*INPUT!$B$2/((B115/F195)^2)</f>
        <v>0</v>
      </c>
      <c r="J195" s="183">
        <f>1*F195*SQRT(INPUT!$B$2/INPUT!AO24)</f>
        <v>0</v>
      </c>
      <c r="K195" s="131">
        <f>IF(D195="Positive",IF(B115&lt;=IF(B195=0,0,1.2*J195*SQRT(1*1*INPUT!AO24/ABS(B195))),H195,H195*MAX(0.85/(1-ABS(B195)/I195),1)),H195)</f>
        <v>9.5410629309398463</v>
      </c>
      <c r="L195" s="180">
        <f>0.6*INPUT!AO24</f>
        <v>228</v>
      </c>
      <c r="M195" s="393" t="str">
        <f>IF(ABS(K195)&lt;=L195,"OK","NG")</f>
        <v>OK</v>
      </c>
      <c r="N195" s="186">
        <f>IF(K195=0,"Inf",L195/ABS(K195))</f>
        <v>23.896708537645161</v>
      </c>
      <c r="O195" s="296"/>
    </row>
    <row r="196">
      <c r="A196" s="182">
        <f>A116</f>
        <v>101</v>
      </c>
      <c r="B196" s="183">
        <f>INPUT!AR25</f>
        <v>0.60695545900194237</v>
      </c>
      <c r="C196" s="183">
        <f>INPUT!AS25</f>
        <v>-0.5613011256267133</v>
      </c>
      <c r="D196" s="60" t="str">
        <f>IF(B196&lt;=0,"Positive","Negative")</f>
        <v>Negative</v>
      </c>
      <c r="E196" s="183">
        <f>INPUT!AV25</f>
        <v>1360.1280922046149</v>
      </c>
      <c r="F196" s="184">
        <f>INPUT!I25/SQRT(12*(1+E196*INPUT!O25/(3*INPUT!I25*INPUT!J25)))</f>
        <v>118.06415136368361</v>
      </c>
      <c r="G196" s="185">
        <f>(INPUT!J25*INPUT!I25^2)/6</f>
        <v>916666.66666666663</v>
      </c>
      <c r="H196" s="131">
        <f>IF(INPUT!H25=1,0,(H116*1.25+K116*1.25+L116*1.5+1.5*N116)/G196*10^6)</f>
        <v>9.5410629309398463</v>
      </c>
      <c r="I196" s="184">
        <f>1*1*PI()^2*INPUT!$B$2/((B116/F196)^2)</f>
        <v>0</v>
      </c>
      <c r="J196" s="183">
        <f>1*F196*SQRT(INPUT!$B$2/INPUT!AO25)</f>
        <v>0</v>
      </c>
      <c r="K196" s="131">
        <f>IF(D196="Positive",IF(B116&lt;=IF(B196=0,0,1.2*J196*SQRT(1*1*INPUT!AO25/ABS(B196))),H196,H196*MAX(0.85/(1-ABS(B196)/I196),1)),H196)</f>
        <v>9.5410629309398463</v>
      </c>
      <c r="L196" s="180">
        <f>0.6*INPUT!AO25</f>
        <v>228</v>
      </c>
      <c r="M196" s="393" t="str">
        <f>IF(ABS(K196)&lt;=L196,"OK","NG")</f>
        <v>OK</v>
      </c>
      <c r="N196" s="186">
        <f>IF(K196=0,"Inf",L196/ABS(K196))</f>
        <v>23.896708537645161</v>
      </c>
      <c r="O196" s="296"/>
    </row>
    <row r="197">
      <c r="A197" s="182">
        <f>A117</f>
        <v>101</v>
      </c>
      <c r="B197" s="183">
        <f>INPUT!AR26</f>
        <v>0.60695545900194237</v>
      </c>
      <c r="C197" s="183">
        <f>INPUT!AS26</f>
        <v>-0.5613011256267133</v>
      </c>
      <c r="D197" s="60" t="str">
        <f>IF(B197&lt;=0,"Positive","Negative")</f>
        <v>Negative</v>
      </c>
      <c r="E197" s="183">
        <f>INPUT!AV26</f>
        <v>1360.1280922046149</v>
      </c>
      <c r="F197" s="184">
        <f>INPUT!I26/SQRT(12*(1+E197*INPUT!O26/(3*INPUT!I26*INPUT!J26)))</f>
        <v>118.06415136368361</v>
      </c>
      <c r="G197" s="185">
        <f>(INPUT!J26*INPUT!I26^2)/6</f>
        <v>916666.66666666663</v>
      </c>
      <c r="H197" s="131">
        <f>IF(INPUT!H26=1,0,(H117*1.25+K117*1.25+L117*1.5+1.5*N117)/G197*10^6)</f>
        <v>9.5410629309398463</v>
      </c>
      <c r="I197" s="184">
        <f>1*1*PI()^2*INPUT!$B$2/((B117/F197)^2)</f>
        <v>0</v>
      </c>
      <c r="J197" s="183">
        <f>1*F197*SQRT(INPUT!$B$2/INPUT!AO26)</f>
        <v>0</v>
      </c>
      <c r="K197" s="131">
        <f>IF(D197="Positive",IF(B117&lt;=IF(B197=0,0,1.2*J197*SQRT(1*1*INPUT!AO26/ABS(B197))),H197,H197*MAX(0.85/(1-ABS(B197)/I197),1)),H197)</f>
        <v>9.5410629309398463</v>
      </c>
      <c r="L197" s="180">
        <f>0.6*INPUT!AO26</f>
        <v>228</v>
      </c>
      <c r="M197" s="393" t="str">
        <f>IF(ABS(K197)&lt;=L197,"OK","NG")</f>
        <v>OK</v>
      </c>
      <c r="N197" s="186">
        <f>IF(K197=0,"Inf",L197/ABS(K197))</f>
        <v>23.896708537645161</v>
      </c>
      <c r="O197" s="296"/>
    </row>
    <row r="198">
      <c r="A198" s="182">
        <f>A118</f>
        <v>101</v>
      </c>
      <c r="B198" s="183">
        <f>INPUT!AR27</f>
        <v>0.60695545900194237</v>
      </c>
      <c r="C198" s="183">
        <f>INPUT!AS27</f>
        <v>-0.5613011256267133</v>
      </c>
      <c r="D198" s="60" t="str">
        <f>IF(B198&lt;=0,"Positive","Negative")</f>
        <v>Negative</v>
      </c>
      <c r="E198" s="183">
        <f>INPUT!AV27</f>
        <v>1360.1280922046149</v>
      </c>
      <c r="F198" s="184">
        <f>INPUT!I27/SQRT(12*(1+E198*INPUT!O27/(3*INPUT!I27*INPUT!J27)))</f>
        <v>118.06415136368361</v>
      </c>
      <c r="G198" s="185">
        <f>(INPUT!J27*INPUT!I27^2)/6</f>
        <v>916666.66666666663</v>
      </c>
      <c r="H198" s="131">
        <f>IF(INPUT!H27=1,0,(H118*1.25+K118*1.25+L118*1.5+1.5*N118)/G198*10^6)</f>
        <v>9.5410629309398463</v>
      </c>
      <c r="I198" s="184">
        <f>1*1*PI()^2*INPUT!$B$2/((B118/F198)^2)</f>
        <v>0</v>
      </c>
      <c r="J198" s="183">
        <f>1*F198*SQRT(INPUT!$B$2/INPUT!AO27)</f>
        <v>0</v>
      </c>
      <c r="K198" s="131">
        <f>IF(D198="Positive",IF(B118&lt;=IF(B198=0,0,1.2*J198*SQRT(1*1*INPUT!AO27/ABS(B198))),H198,H198*MAX(0.85/(1-ABS(B198)/I198),1)),H198)</f>
        <v>9.5410629309398463</v>
      </c>
      <c r="L198" s="180">
        <f>0.6*INPUT!AO27</f>
        <v>228</v>
      </c>
      <c r="M198" s="393" t="str">
        <f>IF(ABS(K198)&lt;=L198,"OK","NG")</f>
        <v>OK</v>
      </c>
      <c r="N198" s="186">
        <f>IF(K198=0,"Inf",L198/ABS(K198))</f>
        <v>23.896708537645161</v>
      </c>
      <c r="O198" s="296"/>
    </row>
    <row r="199">
      <c r="A199" s="182">
        <f>A119</f>
        <v>101</v>
      </c>
      <c r="B199" s="183">
        <f>INPUT!AR28</f>
        <v>0.60695545900194237</v>
      </c>
      <c r="C199" s="183">
        <f>INPUT!AS28</f>
        <v>-0.5613011256267133</v>
      </c>
      <c r="D199" s="60" t="str">
        <f>IF(B199&lt;=0,"Positive","Negative")</f>
        <v>Negative</v>
      </c>
      <c r="E199" s="183">
        <f>INPUT!AV28</f>
        <v>1360.1280922046149</v>
      </c>
      <c r="F199" s="184">
        <f>INPUT!I28/SQRT(12*(1+E199*INPUT!O28/(3*INPUT!I28*INPUT!J28)))</f>
        <v>118.06415136368361</v>
      </c>
      <c r="G199" s="185">
        <f>(INPUT!J28*INPUT!I28^2)/6</f>
        <v>916666.66666666663</v>
      </c>
      <c r="H199" s="131">
        <f>IF(INPUT!H28=1,0,(H119*1.25+K119*1.25+L119*1.5+1.5*N119)/G199*10^6)</f>
        <v>9.5410629309398463</v>
      </c>
      <c r="I199" s="184">
        <f>1*1*PI()^2*INPUT!$B$2/((B119/F199)^2)</f>
        <v>0</v>
      </c>
      <c r="J199" s="183">
        <f>1*F199*SQRT(INPUT!$B$2/INPUT!AO28)</f>
        <v>0</v>
      </c>
      <c r="K199" s="131">
        <f>IF(D199="Positive",IF(B119&lt;=IF(B199=0,0,1.2*J199*SQRT(1*1*INPUT!AO28/ABS(B199))),H199,H199*MAX(0.85/(1-ABS(B199)/I199),1)),H199)</f>
        <v>9.5410629309398463</v>
      </c>
      <c r="L199" s="180">
        <f>0.6*INPUT!AO28</f>
        <v>228</v>
      </c>
      <c r="M199" s="393" t="str">
        <f>IF(ABS(K199)&lt;=L199,"OK","NG")</f>
        <v>OK</v>
      </c>
      <c r="N199" s="186">
        <f>IF(K199=0,"Inf",L199/ABS(K199))</f>
        <v>23.896708537645161</v>
      </c>
      <c r="O199" s="296"/>
    </row>
    <row r="200">
      <c r="A200" s="182">
        <f>A120</f>
        <v>101</v>
      </c>
      <c r="B200" s="183">
        <f>INPUT!AR29</f>
        <v>0.60695545900194237</v>
      </c>
      <c r="C200" s="183">
        <f>INPUT!AS29</f>
        <v>-0.5613011256267133</v>
      </c>
      <c r="D200" s="60" t="str">
        <f>IF(B200&lt;=0,"Positive","Negative")</f>
        <v>Negative</v>
      </c>
      <c r="E200" s="183">
        <f>INPUT!AV29</f>
        <v>1360.1280922046149</v>
      </c>
      <c r="F200" s="184">
        <f>INPUT!I29/SQRT(12*(1+E200*INPUT!O29/(3*INPUT!I29*INPUT!J29)))</f>
        <v>118.06415136368361</v>
      </c>
      <c r="G200" s="185">
        <f>(INPUT!J29*INPUT!I29^2)/6</f>
        <v>916666.66666666663</v>
      </c>
      <c r="H200" s="131">
        <f>IF(INPUT!H29=1,0,(H120*1.25+K120*1.25+L120*1.5+1.5*N120)/G200*10^6)</f>
        <v>9.5410629309398463</v>
      </c>
      <c r="I200" s="184">
        <f>1*1*PI()^2*INPUT!$B$2/((B120/F200)^2)</f>
        <v>0</v>
      </c>
      <c r="J200" s="183">
        <f>1*F200*SQRT(INPUT!$B$2/INPUT!AO29)</f>
        <v>0</v>
      </c>
      <c r="K200" s="131">
        <f>IF(D200="Positive",IF(B120&lt;=IF(B200=0,0,1.2*J200*SQRT(1*1*INPUT!AO29/ABS(B200))),H200,H200*MAX(0.85/(1-ABS(B200)/I200),1)),H200)</f>
        <v>9.5410629309398463</v>
      </c>
      <c r="L200" s="180">
        <f>0.6*INPUT!AO29</f>
        <v>228</v>
      </c>
      <c r="M200" s="393" t="str">
        <f>IF(ABS(K200)&lt;=L200,"OK","NG")</f>
        <v>OK</v>
      </c>
      <c r="N200" s="186">
        <f>IF(K200=0,"Inf",L200/ABS(K200))</f>
        <v>23.896708537645161</v>
      </c>
      <c r="O200" s="296"/>
    </row>
    <row r="201">
      <c r="A201" s="182">
        <f>A121</f>
        <v>101</v>
      </c>
      <c r="B201" s="183">
        <f>INPUT!AR30</f>
        <v>0.60695545900194237</v>
      </c>
      <c r="C201" s="183">
        <f>INPUT!AS30</f>
        <v>-0.5613011256267133</v>
      </c>
      <c r="D201" s="60" t="str">
        <f>IF(B201&lt;=0,"Positive","Negative")</f>
        <v>Negative</v>
      </c>
      <c r="E201" s="183">
        <f>INPUT!AV30</f>
        <v>1360.1280922046149</v>
      </c>
      <c r="F201" s="184">
        <f>INPUT!I30/SQRT(12*(1+E201*INPUT!O30/(3*INPUT!I30*INPUT!J30)))</f>
        <v>118.06415136368361</v>
      </c>
      <c r="G201" s="185">
        <f>(INPUT!J30*INPUT!I30^2)/6</f>
        <v>916666.66666666663</v>
      </c>
      <c r="H201" s="131">
        <f>IF(INPUT!H30=1,0,(H121*1.25+K121*1.25+L121*1.5+1.5*N121)/G201*10^6)</f>
        <v>9.5410629309398463</v>
      </c>
      <c r="I201" s="184">
        <f>1*1*PI()^2*INPUT!$B$2/((B121/F201)^2)</f>
        <v>0</v>
      </c>
      <c r="J201" s="183">
        <f>1*F201*SQRT(INPUT!$B$2/INPUT!AO30)</f>
        <v>0</v>
      </c>
      <c r="K201" s="131">
        <f>IF(D201="Positive",IF(B121&lt;=IF(B201=0,0,1.2*J201*SQRT(1*1*INPUT!AO30/ABS(B201))),H201,H201*MAX(0.85/(1-ABS(B201)/I201),1)),H201)</f>
        <v>9.5410629309398463</v>
      </c>
      <c r="L201" s="180">
        <f>0.6*INPUT!AO30</f>
        <v>228</v>
      </c>
      <c r="M201" s="393" t="str">
        <f>IF(ABS(K201)&lt;=L201,"OK","NG")</f>
        <v>OK</v>
      </c>
      <c r="N201" s="186">
        <f>IF(K201=0,"Inf",L201/ABS(K201))</f>
        <v>23.896708537645161</v>
      </c>
      <c r="O201" s="296"/>
    </row>
    <row r="202">
      <c r="A202" s="182">
        <f>A122</f>
        <v>101</v>
      </c>
      <c r="B202" s="183">
        <f>INPUT!AR31</f>
        <v>0.60695545900194237</v>
      </c>
      <c r="C202" s="183">
        <f>INPUT!AS31</f>
        <v>-0.5613011256267133</v>
      </c>
      <c r="D202" s="60" t="str">
        <f>IF(B202&lt;=0,"Positive","Negative")</f>
        <v>Negative</v>
      </c>
      <c r="E202" s="183">
        <f>INPUT!AV31</f>
        <v>1360.1280922046149</v>
      </c>
      <c r="F202" s="184">
        <f>INPUT!I31/SQRT(12*(1+E202*INPUT!O31/(3*INPUT!I31*INPUT!J31)))</f>
        <v>118.06415136368361</v>
      </c>
      <c r="G202" s="185">
        <f>(INPUT!J31*INPUT!I31^2)/6</f>
        <v>916666.66666666663</v>
      </c>
      <c r="H202" s="131">
        <f>IF(INPUT!H31=1,0,(H122*1.25+K122*1.25+L122*1.5+1.5*N122)/G202*10^6)</f>
        <v>9.5410629309398463</v>
      </c>
      <c r="I202" s="184">
        <f>1*1*PI()^2*INPUT!$B$2/((B122/F202)^2)</f>
        <v>0</v>
      </c>
      <c r="J202" s="183">
        <f>1*F202*SQRT(INPUT!$B$2/INPUT!AO31)</f>
        <v>0</v>
      </c>
      <c r="K202" s="131">
        <f>IF(D202="Positive",IF(B122&lt;=IF(B202=0,0,1.2*J202*SQRT(1*1*INPUT!AO31/ABS(B202))),H202,H202*MAX(0.85/(1-ABS(B202)/I202),1)),H202)</f>
        <v>9.5410629309398463</v>
      </c>
      <c r="L202" s="180">
        <f>0.6*INPUT!AO31</f>
        <v>228</v>
      </c>
      <c r="M202" s="393" t="str">
        <f>IF(ABS(K202)&lt;=L202,"OK","NG")</f>
        <v>OK</v>
      </c>
      <c r="N202" s="186">
        <f>IF(K202=0,"Inf",L202/ABS(K202))</f>
        <v>23.896708537645161</v>
      </c>
      <c r="O202" s="296"/>
    </row>
    <row r="203">
      <c r="A203" s="182">
        <f>A123</f>
        <v>101</v>
      </c>
      <c r="B203" s="183">
        <f>INPUT!AR32</f>
        <v>0.60695545900194237</v>
      </c>
      <c r="C203" s="183">
        <f>INPUT!AS32</f>
        <v>-0.5613011256267133</v>
      </c>
      <c r="D203" s="60" t="str">
        <f>IF(B203&lt;=0,"Positive","Negative")</f>
        <v>Negative</v>
      </c>
      <c r="E203" s="183">
        <f>INPUT!AV32</f>
        <v>1360.1280922046149</v>
      </c>
      <c r="F203" s="184">
        <f>INPUT!I32/SQRT(12*(1+E203*INPUT!O32/(3*INPUT!I32*INPUT!J32)))</f>
        <v>118.06415136368361</v>
      </c>
      <c r="G203" s="185">
        <f>(INPUT!J32*INPUT!I32^2)/6</f>
        <v>916666.66666666663</v>
      </c>
      <c r="H203" s="131">
        <f>IF(INPUT!H32=1,0,(H123*1.25+K123*1.25+L123*1.5+1.5*N123)/G203*10^6)</f>
        <v>9.5410629309398463</v>
      </c>
      <c r="I203" s="184">
        <f>1*1*PI()^2*INPUT!$B$2/((B123/F203)^2)</f>
        <v>0</v>
      </c>
      <c r="J203" s="183">
        <f>1*F203*SQRT(INPUT!$B$2/INPUT!AO32)</f>
        <v>0</v>
      </c>
      <c r="K203" s="131">
        <f>IF(D203="Positive",IF(B123&lt;=IF(B203=0,0,1.2*J203*SQRT(1*1*INPUT!AO32/ABS(B203))),H203,H203*MAX(0.85/(1-ABS(B203)/I203),1)),H203)</f>
        <v>9.5410629309398463</v>
      </c>
      <c r="L203" s="180">
        <f>0.6*INPUT!AO32</f>
        <v>228</v>
      </c>
      <c r="M203" s="393" t="str">
        <f>IF(ABS(K203)&lt;=L203,"OK","NG")</f>
        <v>OK</v>
      </c>
      <c r="N203" s="186">
        <f>IF(K203=0,"Inf",L203/ABS(K203))</f>
        <v>23.896708537645161</v>
      </c>
      <c r="O203" s="296"/>
    </row>
    <row r="204">
      <c r="A204" s="182">
        <f>A124</f>
        <v>101</v>
      </c>
      <c r="B204" s="183">
        <f>INPUT!AR33</f>
        <v>0.60695545900194237</v>
      </c>
      <c r="C204" s="183">
        <f>INPUT!AS33</f>
        <v>-0.5613011256267133</v>
      </c>
      <c r="D204" s="60" t="str">
        <f>IF(B204&lt;=0,"Positive","Negative")</f>
        <v>Negative</v>
      </c>
      <c r="E204" s="183">
        <f>INPUT!AV33</f>
        <v>1360.1280922046149</v>
      </c>
      <c r="F204" s="184">
        <f>INPUT!I33/SQRT(12*(1+E204*INPUT!O33/(3*INPUT!I33*INPUT!J33)))</f>
        <v>118.06415136368361</v>
      </c>
      <c r="G204" s="185">
        <f>(INPUT!J33*INPUT!I33^2)/6</f>
        <v>916666.66666666663</v>
      </c>
      <c r="H204" s="131">
        <f>IF(INPUT!H33=1,0,(H124*1.25+K124*1.25+L124*1.5+1.5*N124)/G204*10^6)</f>
        <v>9.5410629309398463</v>
      </c>
      <c r="I204" s="184">
        <f>1*1*PI()^2*INPUT!$B$2/((B124/F204)^2)</f>
        <v>0</v>
      </c>
      <c r="J204" s="183">
        <f>1*F204*SQRT(INPUT!$B$2/INPUT!AO33)</f>
        <v>0</v>
      </c>
      <c r="K204" s="131">
        <f>IF(D204="Positive",IF(B124&lt;=IF(B204=0,0,1.2*J204*SQRT(1*1*INPUT!AO33/ABS(B204))),H204,H204*MAX(0.85/(1-ABS(B204)/I204),1)),H204)</f>
        <v>9.5410629309398463</v>
      </c>
      <c r="L204" s="180">
        <f>0.6*INPUT!AO33</f>
        <v>228</v>
      </c>
      <c r="M204" s="393" t="str">
        <f>IF(ABS(K204)&lt;=L204,"OK","NG")</f>
        <v>OK</v>
      </c>
      <c r="N204" s="186">
        <f>IF(K204=0,"Inf",L204/ABS(K204))</f>
        <v>23.896708537645161</v>
      </c>
      <c r="O204" s="296"/>
    </row>
    <row r="205">
      <c r="A205" s="182">
        <f>A125</f>
        <v>101</v>
      </c>
      <c r="B205" s="183">
        <f>INPUT!AR34</f>
        <v>0.60695545900194237</v>
      </c>
      <c r="C205" s="183">
        <f>INPUT!AS34</f>
        <v>-0.5613011256267133</v>
      </c>
      <c r="D205" s="60" t="str">
        <f>IF(B205&lt;=0,"Positive","Negative")</f>
        <v>Negative</v>
      </c>
      <c r="E205" s="183">
        <f>INPUT!AV34</f>
        <v>1360.1280922046149</v>
      </c>
      <c r="F205" s="184">
        <f>INPUT!I34/SQRT(12*(1+E205*INPUT!O34/(3*INPUT!I34*INPUT!J34)))</f>
        <v>118.06415136368361</v>
      </c>
      <c r="G205" s="185">
        <f>(INPUT!J34*INPUT!I34^2)/6</f>
        <v>916666.66666666663</v>
      </c>
      <c r="H205" s="131">
        <f>IF(INPUT!H34=1,0,(H125*1.25+K125*1.25+L125*1.5+1.5*N125)/G205*10^6)</f>
        <v>9.5410629309398463</v>
      </c>
      <c r="I205" s="184">
        <f>1*1*PI()^2*INPUT!$B$2/((B125/F205)^2)</f>
        <v>0</v>
      </c>
      <c r="J205" s="183">
        <f>1*F205*SQRT(INPUT!$B$2/INPUT!AO34)</f>
        <v>0</v>
      </c>
      <c r="K205" s="131">
        <f>IF(D205="Positive",IF(B125&lt;=IF(B205=0,0,1.2*J205*SQRT(1*1*INPUT!AO34/ABS(B205))),H205,H205*MAX(0.85/(1-ABS(B205)/I205),1)),H205)</f>
        <v>9.5410629309398463</v>
      </c>
      <c r="L205" s="180">
        <f>0.6*INPUT!AO34</f>
        <v>228</v>
      </c>
      <c r="M205" s="393" t="str">
        <f>IF(ABS(K205)&lt;=L205,"OK","NG")</f>
        <v>OK</v>
      </c>
      <c r="N205" s="186">
        <f>IF(K205=0,"Inf",L205/ABS(K205))</f>
        <v>23.896708537645161</v>
      </c>
      <c r="O205" s="296"/>
    </row>
    <row r="206">
      <c r="A206" s="182">
        <f>A126</f>
        <v>101</v>
      </c>
      <c r="B206" s="183">
        <f>INPUT!AR35</f>
        <v>0.60695545900194237</v>
      </c>
      <c r="C206" s="183">
        <f>INPUT!AS35</f>
        <v>-0.5613011256267133</v>
      </c>
      <c r="D206" s="60" t="str">
        <f>IF(B206&lt;=0,"Positive","Negative")</f>
        <v>Negative</v>
      </c>
      <c r="E206" s="183">
        <f>INPUT!AV35</f>
        <v>1360.1280922046149</v>
      </c>
      <c r="F206" s="184">
        <f>INPUT!I35/SQRT(12*(1+E206*INPUT!O35/(3*INPUT!I35*INPUT!J35)))</f>
        <v>118.06415136368361</v>
      </c>
      <c r="G206" s="185">
        <f>(INPUT!J35*INPUT!I35^2)/6</f>
        <v>916666.66666666663</v>
      </c>
      <c r="H206" s="131">
        <f>IF(INPUT!H35=1,0,(H126*1.25+K126*1.25+L126*1.5+1.5*N126)/G206*10^6)</f>
        <v>9.5410629309398463</v>
      </c>
      <c r="I206" s="184">
        <f>1*1*PI()^2*INPUT!$B$2/((B126/F206)^2)</f>
        <v>0</v>
      </c>
      <c r="J206" s="183">
        <f>1*F206*SQRT(INPUT!$B$2/INPUT!AO35)</f>
        <v>0</v>
      </c>
      <c r="K206" s="131">
        <f>IF(D206="Positive",IF(B126&lt;=IF(B206=0,0,1.2*J206*SQRT(1*1*INPUT!AO35/ABS(B206))),H206,H206*MAX(0.85/(1-ABS(B206)/I206),1)),H206)</f>
        <v>9.5410629309398463</v>
      </c>
      <c r="L206" s="180">
        <f>0.6*INPUT!AO35</f>
        <v>228</v>
      </c>
      <c r="M206" s="393" t="str">
        <f>IF(ABS(K206)&lt;=L206,"OK","NG")</f>
        <v>OK</v>
      </c>
      <c r="N206" s="186">
        <f>IF(K206=0,"Inf",L206/ABS(K206))</f>
        <v>23.896708537645161</v>
      </c>
      <c r="O206" s="296"/>
    </row>
    <row r="207">
      <c r="A207" s="182">
        <f>A127</f>
        <v>101</v>
      </c>
      <c r="B207" s="183">
        <f>INPUT!AR36</f>
        <v>0.60695545900194237</v>
      </c>
      <c r="C207" s="183">
        <f>INPUT!AS36</f>
        <v>-0.5613011256267133</v>
      </c>
      <c r="D207" s="60" t="str">
        <f>IF(B207&lt;=0,"Positive","Negative")</f>
        <v>Negative</v>
      </c>
      <c r="E207" s="183">
        <f>INPUT!AV36</f>
        <v>1360.1280922046149</v>
      </c>
      <c r="F207" s="184">
        <f>INPUT!I36/SQRT(12*(1+E207*INPUT!O36/(3*INPUT!I36*INPUT!J36)))</f>
        <v>118.06415136368361</v>
      </c>
      <c r="G207" s="185">
        <f>(INPUT!J36*INPUT!I36^2)/6</f>
        <v>916666.66666666663</v>
      </c>
      <c r="H207" s="131">
        <f>IF(INPUT!H36=1,0,(H127*1.25+K127*1.25+L127*1.5+1.5*N127)/G207*10^6)</f>
        <v>9.5410629309398463</v>
      </c>
      <c r="I207" s="184">
        <f>1*1*PI()^2*INPUT!$B$2/((B127/F207)^2)</f>
        <v>0</v>
      </c>
      <c r="J207" s="183">
        <f>1*F207*SQRT(INPUT!$B$2/INPUT!AO36)</f>
        <v>0</v>
      </c>
      <c r="K207" s="131">
        <f>IF(D207="Positive",IF(B127&lt;=IF(B207=0,0,1.2*J207*SQRT(1*1*INPUT!AO36/ABS(B207))),H207,H207*MAX(0.85/(1-ABS(B207)/I207),1)),H207)</f>
        <v>9.5410629309398463</v>
      </c>
      <c r="L207" s="180">
        <f>0.6*INPUT!AO36</f>
        <v>228</v>
      </c>
      <c r="M207" s="393" t="str">
        <f>IF(ABS(K207)&lt;=L207,"OK","NG")</f>
        <v>OK</v>
      </c>
      <c r="N207" s="186">
        <f>IF(K207=0,"Inf",L207/ABS(K207))</f>
        <v>23.896708537645161</v>
      </c>
      <c r="O207" s="296"/>
    </row>
    <row r="208">
      <c r="A208" s="182">
        <f>A128</f>
        <v>101</v>
      </c>
      <c r="B208" s="183">
        <f>INPUT!AR37</f>
        <v>0.60695545900194237</v>
      </c>
      <c r="C208" s="183">
        <f>INPUT!AS37</f>
        <v>-0.5613011256267133</v>
      </c>
      <c r="D208" s="60" t="str">
        <f>IF(B208&lt;=0,"Positive","Negative")</f>
        <v>Negative</v>
      </c>
      <c r="E208" s="183">
        <f>INPUT!AV37</f>
        <v>1360.1280922046149</v>
      </c>
      <c r="F208" s="184">
        <f>INPUT!I37/SQRT(12*(1+E208*INPUT!O37/(3*INPUT!I37*INPUT!J37)))</f>
        <v>118.06415136368361</v>
      </c>
      <c r="G208" s="185">
        <f>(INPUT!J37*INPUT!I37^2)/6</f>
        <v>916666.66666666663</v>
      </c>
      <c r="H208" s="131">
        <f>IF(INPUT!H37=1,0,(H128*1.25+K128*1.25+L128*1.5+1.5*N128)/G208*10^6)</f>
        <v>9.5410629309398463</v>
      </c>
      <c r="I208" s="184">
        <f>1*1*PI()^2*INPUT!$B$2/((B128/F208)^2)</f>
        <v>0</v>
      </c>
      <c r="J208" s="183">
        <f>1*F208*SQRT(INPUT!$B$2/INPUT!AO37)</f>
        <v>0</v>
      </c>
      <c r="K208" s="131">
        <f>IF(D208="Positive",IF(B128&lt;=IF(B208=0,0,1.2*J208*SQRT(1*1*INPUT!AO37/ABS(B208))),H208,H208*MAX(0.85/(1-ABS(B208)/I208),1)),H208)</f>
        <v>9.5410629309398463</v>
      </c>
      <c r="L208" s="180">
        <f>0.6*INPUT!AO37</f>
        <v>228</v>
      </c>
      <c r="M208" s="393" t="str">
        <f>IF(ABS(K208)&lt;=L208,"OK","NG")</f>
        <v>OK</v>
      </c>
      <c r="N208" s="186">
        <f>IF(K208=0,"Inf",L208/ABS(K208))</f>
        <v>23.896708537645161</v>
      </c>
      <c r="O208" s="296"/>
    </row>
    <row r="209">
      <c r="A209" s="182">
        <f>A129</f>
        <v>101</v>
      </c>
      <c r="B209" s="183">
        <f>INPUT!AR38</f>
        <v>0.60695545900194237</v>
      </c>
      <c r="C209" s="183">
        <f>INPUT!AS38</f>
        <v>-0.5613011256267133</v>
      </c>
      <c r="D209" s="60" t="str">
        <f>IF(B209&lt;=0,"Positive","Negative")</f>
        <v>Negative</v>
      </c>
      <c r="E209" s="183">
        <f>INPUT!AV38</f>
        <v>1360.1280922046149</v>
      </c>
      <c r="F209" s="184">
        <f>INPUT!I38/SQRT(12*(1+E209*INPUT!O38/(3*INPUT!I38*INPUT!J38)))</f>
        <v>118.06415136368361</v>
      </c>
      <c r="G209" s="185">
        <f>(INPUT!J38*INPUT!I38^2)/6</f>
        <v>916666.66666666663</v>
      </c>
      <c r="H209" s="131">
        <f>IF(INPUT!H38=1,0,(H129*1.25+K129*1.25+L129*1.5+1.5*N129)/G209*10^6)</f>
        <v>9.5410629309398463</v>
      </c>
      <c r="I209" s="184">
        <f>1*1*PI()^2*INPUT!$B$2/((B129/F209)^2)</f>
        <v>0</v>
      </c>
      <c r="J209" s="183">
        <f>1*F209*SQRT(INPUT!$B$2/INPUT!AO38)</f>
        <v>0</v>
      </c>
      <c r="K209" s="131">
        <f>IF(D209="Positive",IF(B129&lt;=IF(B209=0,0,1.2*J209*SQRT(1*1*INPUT!AO38/ABS(B209))),H209,H209*MAX(0.85/(1-ABS(B209)/I209),1)),H209)</f>
        <v>9.5410629309398463</v>
      </c>
      <c r="L209" s="180">
        <f>0.6*INPUT!AO38</f>
        <v>228</v>
      </c>
      <c r="M209" s="393" t="str">
        <f>IF(ABS(K209)&lt;=L209,"OK","NG")</f>
        <v>OK</v>
      </c>
      <c r="N209" s="186">
        <f>IF(K209=0,"Inf",L209/ABS(K209))</f>
        <v>23.896708537645161</v>
      </c>
      <c r="O209" s="296"/>
    </row>
    <row r="210">
      <c r="A210" s="182">
        <f>A130</f>
        <v>101</v>
      </c>
      <c r="B210" s="183">
        <f>INPUT!AR39</f>
        <v>0.60695545900194237</v>
      </c>
      <c r="C210" s="183">
        <f>INPUT!AS39</f>
        <v>-0.5613011256267133</v>
      </c>
      <c r="D210" s="60" t="str">
        <f>IF(B210&lt;=0,"Positive","Negative")</f>
        <v>Negative</v>
      </c>
      <c r="E210" s="183">
        <f>INPUT!AV39</f>
        <v>1360.1280922046149</v>
      </c>
      <c r="F210" s="184">
        <f>INPUT!I39/SQRT(12*(1+E210*INPUT!O39/(3*INPUT!I39*INPUT!J39)))</f>
        <v>118.06415136368361</v>
      </c>
      <c r="G210" s="185">
        <f>(INPUT!J39*INPUT!I39^2)/6</f>
        <v>916666.66666666663</v>
      </c>
      <c r="H210" s="131">
        <f>IF(INPUT!H39=1,0,(H130*1.25+K130*1.25+L130*1.5+1.5*N130)/G210*10^6)</f>
        <v>9.5410629309398463</v>
      </c>
      <c r="I210" s="184">
        <f>1*1*PI()^2*INPUT!$B$2/((B130/F210)^2)</f>
        <v>0</v>
      </c>
      <c r="J210" s="183">
        <f>1*F210*SQRT(INPUT!$B$2/INPUT!AO39)</f>
        <v>0</v>
      </c>
      <c r="K210" s="131">
        <f>IF(D210="Positive",IF(B130&lt;=IF(B210=0,0,1.2*J210*SQRT(1*1*INPUT!AO39/ABS(B210))),H210,H210*MAX(0.85/(1-ABS(B210)/I210),1)),H210)</f>
        <v>9.5410629309398463</v>
      </c>
      <c r="L210" s="180">
        <f>0.6*INPUT!AO39</f>
        <v>228</v>
      </c>
      <c r="M210" s="393" t="str">
        <f>IF(ABS(K210)&lt;=L210,"OK","NG")</f>
        <v>OK</v>
      </c>
      <c r="N210" s="186">
        <f>IF(K210=0,"Inf",L210/ABS(K210))</f>
        <v>23.896708537645161</v>
      </c>
      <c r="O210" s="296"/>
    </row>
    <row r="211">
      <c r="A211" s="182">
        <f>A131</f>
        <v>101</v>
      </c>
      <c r="B211" s="183">
        <f>INPUT!AR40</f>
        <v>0.60695545900194237</v>
      </c>
      <c r="C211" s="183">
        <f>INPUT!AS40</f>
        <v>-0.5613011256267133</v>
      </c>
      <c r="D211" s="60" t="str">
        <f>IF(B211&lt;=0,"Positive","Negative")</f>
        <v>Negative</v>
      </c>
      <c r="E211" s="183">
        <f>INPUT!AV40</f>
        <v>1360.1280922046149</v>
      </c>
      <c r="F211" s="184">
        <f>INPUT!I40/SQRT(12*(1+E211*INPUT!O40/(3*INPUT!I40*INPUT!J40)))</f>
        <v>118.06415136368361</v>
      </c>
      <c r="G211" s="185">
        <f>(INPUT!J40*INPUT!I40^2)/6</f>
        <v>916666.66666666663</v>
      </c>
      <c r="H211" s="131">
        <f>IF(INPUT!H40=1,0,(H131*1.25+K131*1.25+L131*1.5+1.5*N131)/G211*10^6)</f>
        <v>9.5410629309398463</v>
      </c>
      <c r="I211" s="184">
        <f>1*1*PI()^2*INPUT!$B$2/((B131/F211)^2)</f>
        <v>0</v>
      </c>
      <c r="J211" s="183">
        <f>1*F211*SQRT(INPUT!$B$2/INPUT!AO40)</f>
        <v>0</v>
      </c>
      <c r="K211" s="131">
        <f>IF(D211="Positive",IF(B131&lt;=IF(B211=0,0,1.2*J211*SQRT(1*1*INPUT!AO40/ABS(B211))),H211,H211*MAX(0.85/(1-ABS(B211)/I211),1)),H211)</f>
        <v>9.5410629309398463</v>
      </c>
      <c r="L211" s="180">
        <f>0.6*INPUT!AO40</f>
        <v>228</v>
      </c>
      <c r="M211" s="393" t="str">
        <f>IF(ABS(K211)&lt;=L211,"OK","NG")</f>
        <v>OK</v>
      </c>
      <c r="N211" s="186">
        <f>IF(K211=0,"Inf",L211/ABS(K211))</f>
        <v>23.896708537645161</v>
      </c>
      <c r="O211" s="296"/>
    </row>
    <row r="212">
      <c r="A212" s="182">
        <f>A132</f>
        <v>101</v>
      </c>
      <c r="B212" s="183">
        <f>INPUT!AR41</f>
        <v>0.60695545900194237</v>
      </c>
      <c r="C212" s="183">
        <f>INPUT!AS41</f>
        <v>-0.5613011256267133</v>
      </c>
      <c r="D212" s="60" t="str">
        <f>IF(B212&lt;=0,"Positive","Negative")</f>
        <v>Negative</v>
      </c>
      <c r="E212" s="183">
        <f>INPUT!AV41</f>
        <v>1360.1280922046149</v>
      </c>
      <c r="F212" s="184">
        <f>INPUT!I41/SQRT(12*(1+E212*INPUT!O41/(3*INPUT!I41*INPUT!J41)))</f>
        <v>118.06415136368361</v>
      </c>
      <c r="G212" s="185">
        <f>(INPUT!J41*INPUT!I41^2)/6</f>
        <v>916666.66666666663</v>
      </c>
      <c r="H212" s="131">
        <f>IF(INPUT!H41=1,0,(H132*1.25+K132*1.25+L132*1.5+1.5*N132)/G212*10^6)</f>
        <v>9.5410629309398463</v>
      </c>
      <c r="I212" s="184">
        <f>1*1*PI()^2*INPUT!$B$2/((B132/F212)^2)</f>
        <v>0</v>
      </c>
      <c r="J212" s="183">
        <f>1*F212*SQRT(INPUT!$B$2/INPUT!AO41)</f>
        <v>0</v>
      </c>
      <c r="K212" s="131">
        <f>IF(D212="Positive",IF(B132&lt;=IF(B212=0,0,1.2*J212*SQRT(1*1*INPUT!AO41/ABS(B212))),H212,H212*MAX(0.85/(1-ABS(B212)/I212),1)),H212)</f>
        <v>9.5410629309398463</v>
      </c>
      <c r="L212" s="180">
        <f>0.6*INPUT!AO41</f>
        <v>228</v>
      </c>
      <c r="M212" s="393" t="str">
        <f>IF(ABS(K212)&lt;=L212,"OK","NG")</f>
        <v>OK</v>
      </c>
      <c r="N212" s="186">
        <f>IF(K212=0,"Inf",L212/ABS(K212))</f>
        <v>23.896708537645161</v>
      </c>
      <c r="O212" s="296"/>
    </row>
    <row r="213">
      <c r="A213" s="182">
        <f>A133</f>
        <v>101</v>
      </c>
      <c r="B213" s="183">
        <f>INPUT!AR42</f>
        <v>0.60695545900194237</v>
      </c>
      <c r="C213" s="183">
        <f>INPUT!AS42</f>
        <v>-0.5613011256267133</v>
      </c>
      <c r="D213" s="60" t="str">
        <f>IF(B213&lt;=0,"Positive","Negative")</f>
        <v>Negative</v>
      </c>
      <c r="E213" s="183">
        <f>INPUT!AV42</f>
        <v>1360.1280922046149</v>
      </c>
      <c r="F213" s="184">
        <f>INPUT!I42/SQRT(12*(1+E213*INPUT!O42/(3*INPUT!I42*INPUT!J42)))</f>
        <v>118.06415136368361</v>
      </c>
      <c r="G213" s="185">
        <f>(INPUT!J42*INPUT!I42^2)/6</f>
        <v>916666.66666666663</v>
      </c>
      <c r="H213" s="131">
        <f>IF(INPUT!H42=1,0,(H133*1.25+K133*1.25+L133*1.5+1.5*N133)/G213*10^6)</f>
        <v>9.5410629309398463</v>
      </c>
      <c r="I213" s="184">
        <f>1*1*PI()^2*INPUT!$B$2/((B133/F213)^2)</f>
        <v>0</v>
      </c>
      <c r="J213" s="183">
        <f>1*F213*SQRT(INPUT!$B$2/INPUT!AO42)</f>
        <v>0</v>
      </c>
      <c r="K213" s="131">
        <f>IF(D213="Positive",IF(B133&lt;=IF(B213=0,0,1.2*J213*SQRT(1*1*INPUT!AO42/ABS(B213))),H213,H213*MAX(0.85/(1-ABS(B213)/I213),1)),H213)</f>
        <v>9.5410629309398463</v>
      </c>
      <c r="L213" s="180">
        <f>0.6*INPUT!AO42</f>
        <v>228</v>
      </c>
      <c r="M213" s="393" t="str">
        <f>IF(ABS(K213)&lt;=L213,"OK","NG")</f>
        <v>OK</v>
      </c>
      <c r="N213" s="186">
        <f>IF(K213=0,"Inf",L213/ABS(K213))</f>
        <v>23.896708537645161</v>
      </c>
      <c r="O213" s="296"/>
    </row>
    <row r="214">
      <c r="A214" s="182">
        <f>A134</f>
        <v>101</v>
      </c>
      <c r="B214" s="183">
        <f>INPUT!AR43</f>
        <v>0.60695545900194237</v>
      </c>
      <c r="C214" s="183">
        <f>INPUT!AS43</f>
        <v>-0.5613011256267133</v>
      </c>
      <c r="D214" s="60" t="str">
        <f>IF(B214&lt;=0,"Positive","Negative")</f>
        <v>Negative</v>
      </c>
      <c r="E214" s="183">
        <f>INPUT!AV43</f>
        <v>1360.1280922046149</v>
      </c>
      <c r="F214" s="184">
        <f>INPUT!I43/SQRT(12*(1+E214*INPUT!O43/(3*INPUT!I43*INPUT!J43)))</f>
        <v>118.06415136368361</v>
      </c>
      <c r="G214" s="185">
        <f>(INPUT!J43*INPUT!I43^2)/6</f>
        <v>916666.66666666663</v>
      </c>
      <c r="H214" s="131">
        <f>IF(INPUT!H43=1,0,(H134*1.25+K134*1.25+L134*1.5+1.5*N134)/G214*10^6)</f>
        <v>9.5410629309398463</v>
      </c>
      <c r="I214" s="184">
        <f>1*1*PI()^2*INPUT!$B$2/((B134/F214)^2)</f>
        <v>0</v>
      </c>
      <c r="J214" s="183">
        <f>1*F214*SQRT(INPUT!$B$2/INPUT!AO43)</f>
        <v>0</v>
      </c>
      <c r="K214" s="131">
        <f>IF(D214="Positive",IF(B134&lt;=IF(B214=0,0,1.2*J214*SQRT(1*1*INPUT!AO43/ABS(B214))),H214,H214*MAX(0.85/(1-ABS(B214)/I214),1)),H214)</f>
        <v>9.5410629309398463</v>
      </c>
      <c r="L214" s="180">
        <f>0.6*INPUT!AO43</f>
        <v>228</v>
      </c>
      <c r="M214" s="393" t="str">
        <f>IF(ABS(K214)&lt;=L214,"OK","NG")</f>
        <v>OK</v>
      </c>
      <c r="N214" s="186">
        <f>IF(K214=0,"Inf",L214/ABS(K214))</f>
        <v>23.896708537645161</v>
      </c>
      <c r="O214" s="296"/>
    </row>
    <row r="215">
      <c r="A215" s="182">
        <f>A135</f>
        <v>101</v>
      </c>
      <c r="B215" s="183">
        <f>INPUT!AR44</f>
        <v>0.60695545900194237</v>
      </c>
      <c r="C215" s="183">
        <f>INPUT!AS44</f>
        <v>-0.5613011256267133</v>
      </c>
      <c r="D215" s="60" t="str">
        <f>IF(B215&lt;=0,"Positive","Negative")</f>
        <v>Negative</v>
      </c>
      <c r="E215" s="183">
        <f>INPUT!AV44</f>
        <v>1360.1280922046149</v>
      </c>
      <c r="F215" s="184">
        <f>INPUT!I44/SQRT(12*(1+E215*INPUT!O44/(3*INPUT!I44*INPUT!J44)))</f>
        <v>118.06415136368361</v>
      </c>
      <c r="G215" s="185">
        <f>(INPUT!J44*INPUT!I44^2)/6</f>
        <v>916666.66666666663</v>
      </c>
      <c r="H215" s="131">
        <f>IF(INPUT!H44=1,0,(H135*1.25+K135*1.25+L135*1.5+1.5*N135)/G215*10^6)</f>
        <v>9.5410629309398463</v>
      </c>
      <c r="I215" s="184">
        <f>1*1*PI()^2*INPUT!$B$2/((B135/F215)^2)</f>
        <v>0</v>
      </c>
      <c r="J215" s="183">
        <f>1*F215*SQRT(INPUT!$B$2/INPUT!AO44)</f>
        <v>0</v>
      </c>
      <c r="K215" s="131">
        <f>IF(D215="Positive",IF(B135&lt;=IF(B215=0,0,1.2*J215*SQRT(1*1*INPUT!AO44/ABS(B215))),H215,H215*MAX(0.85/(1-ABS(B215)/I215),1)),H215)</f>
        <v>9.5410629309398463</v>
      </c>
      <c r="L215" s="180">
        <f>0.6*INPUT!AO44</f>
        <v>228</v>
      </c>
      <c r="M215" s="393" t="str">
        <f>IF(ABS(K215)&lt;=L215,"OK","NG")</f>
        <v>OK</v>
      </c>
      <c r="N215" s="186">
        <f>IF(K215=0,"Inf",L215/ABS(K215))</f>
        <v>23.896708537645161</v>
      </c>
      <c r="O215" s="296"/>
    </row>
    <row r="216">
      <c r="A216" s="182">
        <f>A136</f>
        <v>101</v>
      </c>
      <c r="B216" s="183">
        <f>INPUT!AR45</f>
        <v>0.60695545900194237</v>
      </c>
      <c r="C216" s="183">
        <f>INPUT!AS45</f>
        <v>-0.5613011256267133</v>
      </c>
      <c r="D216" s="60" t="str">
        <f>IF(B216&lt;=0,"Positive","Negative")</f>
        <v>Negative</v>
      </c>
      <c r="E216" s="183">
        <f>INPUT!AV45</f>
        <v>1360.1280922046149</v>
      </c>
      <c r="F216" s="184">
        <f>INPUT!I45/SQRT(12*(1+E216*INPUT!O45/(3*INPUT!I45*INPUT!J45)))</f>
        <v>118.06415136368361</v>
      </c>
      <c r="G216" s="185">
        <f>(INPUT!J45*INPUT!I45^2)/6</f>
        <v>916666.66666666663</v>
      </c>
      <c r="H216" s="131">
        <f>IF(INPUT!H45=1,0,(H136*1.25+K136*1.25+L136*1.5+1.5*N136)/G216*10^6)</f>
        <v>9.5410629309398463</v>
      </c>
      <c r="I216" s="184">
        <f>1*1*PI()^2*INPUT!$B$2/((B136/F216)^2)</f>
        <v>0</v>
      </c>
      <c r="J216" s="183">
        <f>1*F216*SQRT(INPUT!$B$2/INPUT!AO45)</f>
        <v>0</v>
      </c>
      <c r="K216" s="131">
        <f>IF(D216="Positive",IF(B136&lt;=IF(B216=0,0,1.2*J216*SQRT(1*1*INPUT!AO45/ABS(B216))),H216,H216*MAX(0.85/(1-ABS(B216)/I216),1)),H216)</f>
        <v>9.5410629309398463</v>
      </c>
      <c r="L216" s="180">
        <f>0.6*INPUT!AO45</f>
        <v>228</v>
      </c>
      <c r="M216" s="393" t="str">
        <f>IF(ABS(K216)&lt;=L216,"OK","NG")</f>
        <v>OK</v>
      </c>
      <c r="N216" s="186">
        <f>IF(K216=0,"Inf",L216/ABS(K216))</f>
        <v>23.896708537645161</v>
      </c>
      <c r="O216" s="296"/>
    </row>
    <row r="217">
      <c r="A217" s="182">
        <f>A137</f>
        <v>101</v>
      </c>
      <c r="B217" s="183">
        <f>INPUT!AR46</f>
        <v>0.60695545900194237</v>
      </c>
      <c r="C217" s="183">
        <f>INPUT!AS46</f>
        <v>-0.5613011256267133</v>
      </c>
      <c r="D217" s="60" t="str">
        <f>IF(B217&lt;=0,"Positive","Negative")</f>
        <v>Negative</v>
      </c>
      <c r="E217" s="183">
        <f>INPUT!AV46</f>
        <v>1360.1280922046149</v>
      </c>
      <c r="F217" s="184">
        <f>INPUT!I46/SQRT(12*(1+E217*INPUT!O46/(3*INPUT!I46*INPUT!J46)))</f>
        <v>118.06415136368361</v>
      </c>
      <c r="G217" s="185">
        <f>(INPUT!J46*INPUT!I46^2)/6</f>
        <v>916666.66666666663</v>
      </c>
      <c r="H217" s="131">
        <f>IF(INPUT!H46=1,0,(H137*1.25+K137*1.25+L137*1.5+1.5*N137)/G217*10^6)</f>
        <v>9.5410629309398463</v>
      </c>
      <c r="I217" s="184">
        <f>1*1*PI()^2*INPUT!$B$2/((B137/F217)^2)</f>
        <v>0</v>
      </c>
      <c r="J217" s="183">
        <f>1*F217*SQRT(INPUT!$B$2/INPUT!AO46)</f>
        <v>0</v>
      </c>
      <c r="K217" s="131">
        <f>IF(D217="Positive",IF(B137&lt;=IF(B217=0,0,1.2*J217*SQRT(1*1*INPUT!AO46/ABS(B217))),H217,H217*MAX(0.85/(1-ABS(B217)/I217),1)),H217)</f>
        <v>9.5410629309398463</v>
      </c>
      <c r="L217" s="180">
        <f>0.6*INPUT!AO46</f>
        <v>228</v>
      </c>
      <c r="M217" s="393" t="str">
        <f>IF(ABS(K217)&lt;=L217,"OK","NG")</f>
        <v>OK</v>
      </c>
      <c r="N217" s="186">
        <f>IF(K217=0,"Inf",L217/ABS(K217))</f>
        <v>23.896708537645161</v>
      </c>
      <c r="O217" s="296"/>
    </row>
    <row r="218">
      <c r="A218" s="182">
        <f>A138</f>
        <v>101</v>
      </c>
      <c r="B218" s="183">
        <f>INPUT!AR47</f>
        <v>0.60695545900194237</v>
      </c>
      <c r="C218" s="183">
        <f>INPUT!AS47</f>
        <v>-0.5613011256267133</v>
      </c>
      <c r="D218" s="60" t="str">
        <f>IF(B218&lt;=0,"Positive","Negative")</f>
        <v>Negative</v>
      </c>
      <c r="E218" s="183">
        <f>INPUT!AV47</f>
        <v>1360.1280922046149</v>
      </c>
      <c r="F218" s="184">
        <f>INPUT!I47/SQRT(12*(1+E218*INPUT!O47/(3*INPUT!I47*INPUT!J47)))</f>
        <v>118.06415136368361</v>
      </c>
      <c r="G218" s="185">
        <f>(INPUT!J47*INPUT!I47^2)/6</f>
        <v>916666.66666666663</v>
      </c>
      <c r="H218" s="131">
        <f>IF(INPUT!H47=1,0,(H138*1.25+K138*1.25+L138*1.5+1.5*N138)/G218*10^6)</f>
        <v>9.5410629309398463</v>
      </c>
      <c r="I218" s="184">
        <f>1*1*PI()^2*INPUT!$B$2/((B138/F218)^2)</f>
        <v>0</v>
      </c>
      <c r="J218" s="183">
        <f>1*F218*SQRT(INPUT!$B$2/INPUT!AO47)</f>
        <v>0</v>
      </c>
      <c r="K218" s="131">
        <f>IF(D218="Positive",IF(B138&lt;=IF(B218=0,0,1.2*J218*SQRT(1*1*INPUT!AO47/ABS(B218))),H218,H218*MAX(0.85/(1-ABS(B218)/I218),1)),H218)</f>
        <v>9.5410629309398463</v>
      </c>
      <c r="L218" s="180">
        <f>0.6*INPUT!AO47</f>
        <v>228</v>
      </c>
      <c r="M218" s="393" t="str">
        <f>IF(ABS(K218)&lt;=L218,"OK","NG")</f>
        <v>OK</v>
      </c>
      <c r="N218" s="186">
        <f>IF(K218=0,"Inf",L218/ABS(K218))</f>
        <v>23.896708537645161</v>
      </c>
      <c r="O218" s="296"/>
    </row>
    <row r="219">
      <c r="A219" s="182">
        <f>A139</f>
        <v>101</v>
      </c>
      <c r="B219" s="183">
        <f>INPUT!AR48</f>
        <v>0.60695545900194237</v>
      </c>
      <c r="C219" s="183">
        <f>INPUT!AS48</f>
        <v>-0.5613011256267133</v>
      </c>
      <c r="D219" s="60" t="str">
        <f>IF(B219&lt;=0,"Positive","Negative")</f>
        <v>Negative</v>
      </c>
      <c r="E219" s="183">
        <f>INPUT!AV48</f>
        <v>1360.1280922046149</v>
      </c>
      <c r="F219" s="184">
        <f>INPUT!I48/SQRT(12*(1+E219*INPUT!O48/(3*INPUT!I48*INPUT!J48)))</f>
        <v>118.06415136368361</v>
      </c>
      <c r="G219" s="185">
        <f>(INPUT!J48*INPUT!I48^2)/6</f>
        <v>916666.66666666663</v>
      </c>
      <c r="H219" s="131">
        <f>IF(INPUT!H48=1,0,(H139*1.25+K139*1.25+L139*1.5+1.5*N139)/G219*10^6)</f>
        <v>9.5410629309398463</v>
      </c>
      <c r="I219" s="184">
        <f>1*1*PI()^2*INPUT!$B$2/((B139/F219)^2)</f>
        <v>0</v>
      </c>
      <c r="J219" s="183">
        <f>1*F219*SQRT(INPUT!$B$2/INPUT!AO48)</f>
        <v>0</v>
      </c>
      <c r="K219" s="131">
        <f>IF(D219="Positive",IF(B139&lt;=IF(B219=0,0,1.2*J219*SQRT(1*1*INPUT!AO48/ABS(B219))),H219,H219*MAX(0.85/(1-ABS(B219)/I219),1)),H219)</f>
        <v>9.5410629309398463</v>
      </c>
      <c r="L219" s="180">
        <f>0.6*INPUT!AO48</f>
        <v>228</v>
      </c>
      <c r="M219" s="393" t="str">
        <f>IF(ABS(K219)&lt;=L219,"OK","NG")</f>
        <v>OK</v>
      </c>
      <c r="N219" s="186">
        <f>IF(K219=0,"Inf",L219/ABS(K219))</f>
        <v>23.896708537645161</v>
      </c>
      <c r="O219" s="296"/>
    </row>
    <row r="220">
      <c r="A220" s="182">
        <f>A140</f>
        <v>101</v>
      </c>
      <c r="B220" s="183">
        <f>INPUT!AR49</f>
        <v>0.60695545900194237</v>
      </c>
      <c r="C220" s="183">
        <f>INPUT!AS49</f>
        <v>-0.5613011256267133</v>
      </c>
      <c r="D220" s="60" t="str">
        <f>IF(B220&lt;=0,"Positive","Negative")</f>
        <v>Negative</v>
      </c>
      <c r="E220" s="183">
        <f>INPUT!AV49</f>
        <v>1360.1280922046149</v>
      </c>
      <c r="F220" s="184">
        <f>INPUT!I49/SQRT(12*(1+E220*INPUT!O49/(3*INPUT!I49*INPUT!J49)))</f>
        <v>118.06415136368361</v>
      </c>
      <c r="G220" s="185">
        <f>(INPUT!J49*INPUT!I49^2)/6</f>
        <v>916666.66666666663</v>
      </c>
      <c r="H220" s="131">
        <f>IF(INPUT!H49=1,0,(H140*1.25+K140*1.25+L140*1.5+1.5*N140)/G220*10^6)</f>
        <v>9.5410629309398463</v>
      </c>
      <c r="I220" s="184">
        <f>1*1*PI()^2*INPUT!$B$2/((B140/F220)^2)</f>
        <v>0</v>
      </c>
      <c r="J220" s="183">
        <f>1*F220*SQRT(INPUT!$B$2/INPUT!AO49)</f>
        <v>0</v>
      </c>
      <c r="K220" s="131">
        <f>IF(D220="Positive",IF(B140&lt;=IF(B220=0,0,1.2*J220*SQRT(1*1*INPUT!AO49/ABS(B220))),H220,H220*MAX(0.85/(1-ABS(B220)/I220),1)),H220)</f>
        <v>9.5410629309398463</v>
      </c>
      <c r="L220" s="180">
        <f>0.6*INPUT!AO49</f>
        <v>228</v>
      </c>
      <c r="M220" s="393" t="str">
        <f>IF(ABS(K220)&lt;=L220,"OK","NG")</f>
        <v>OK</v>
      </c>
      <c r="N220" s="186">
        <f>IF(K220=0,"Inf",L220/ABS(K220))</f>
        <v>23.896708537645161</v>
      </c>
      <c r="O220" s="296"/>
    </row>
    <row r="221">
      <c r="A221" s="182">
        <f>A141</f>
        <v>101</v>
      </c>
      <c r="B221" s="183">
        <f>INPUT!AR50</f>
        <v>0.60695545900194237</v>
      </c>
      <c r="C221" s="183">
        <f>INPUT!AS50</f>
        <v>-0.5613011256267133</v>
      </c>
      <c r="D221" s="60" t="str">
        <f>IF(B221&lt;=0,"Positive","Negative")</f>
        <v>Negative</v>
      </c>
      <c r="E221" s="183">
        <f>INPUT!AV50</f>
        <v>1360.1280922046149</v>
      </c>
      <c r="F221" s="184">
        <f>INPUT!I50/SQRT(12*(1+E221*INPUT!O50/(3*INPUT!I50*INPUT!J50)))</f>
        <v>118.06415136368361</v>
      </c>
      <c r="G221" s="185">
        <f>(INPUT!J50*INPUT!I50^2)/6</f>
        <v>916666.66666666663</v>
      </c>
      <c r="H221" s="131">
        <f>IF(INPUT!H50=1,0,(H141*1.25+K141*1.25+L141*1.5+1.5*N141)/G221*10^6)</f>
        <v>9.5410629309398463</v>
      </c>
      <c r="I221" s="184">
        <f>1*1*PI()^2*INPUT!$B$2/((B141/F221)^2)</f>
        <v>0</v>
      </c>
      <c r="J221" s="183">
        <f>1*F221*SQRT(INPUT!$B$2/INPUT!AO50)</f>
        <v>0</v>
      </c>
      <c r="K221" s="131">
        <f>IF(D221="Positive",IF(B141&lt;=IF(B221=0,0,1.2*J221*SQRT(1*1*INPUT!AO50/ABS(B221))),H221,H221*MAX(0.85/(1-ABS(B221)/I221),1)),H221)</f>
        <v>9.5410629309398463</v>
      </c>
      <c r="L221" s="180">
        <f>0.6*INPUT!AO50</f>
        <v>228</v>
      </c>
      <c r="M221" s="393" t="str">
        <f>IF(ABS(K221)&lt;=L221,"OK","NG")</f>
        <v>OK</v>
      </c>
      <c r="N221" s="186">
        <f>IF(K221=0,"Inf",L221/ABS(K221))</f>
        <v>23.896708537645161</v>
      </c>
      <c r="O221" s="296"/>
    </row>
    <row r="222">
      <c r="A222" s="182">
        <f>A142</f>
        <v>101</v>
      </c>
      <c r="B222" s="183">
        <f>INPUT!AR51</f>
        <v>0.60695545900194237</v>
      </c>
      <c r="C222" s="183">
        <f>INPUT!AS51</f>
        <v>-0.5613011256267133</v>
      </c>
      <c r="D222" s="60" t="str">
        <f>IF(B222&lt;=0,"Positive","Negative")</f>
        <v>Negative</v>
      </c>
      <c r="E222" s="183">
        <f>INPUT!AV51</f>
        <v>1360.1280922046149</v>
      </c>
      <c r="F222" s="184">
        <f>INPUT!I51/SQRT(12*(1+E222*INPUT!O51/(3*INPUT!I51*INPUT!J51)))</f>
        <v>118.06415136368361</v>
      </c>
      <c r="G222" s="185">
        <f>(INPUT!J51*INPUT!I51^2)/6</f>
        <v>916666.66666666663</v>
      </c>
      <c r="H222" s="131">
        <f>IF(INPUT!H51=1,0,(H142*1.25+K142*1.25+L142*1.5+1.5*N142)/G222*10^6)</f>
        <v>9.5410629309398463</v>
      </c>
      <c r="I222" s="184">
        <f>1*1*PI()^2*INPUT!$B$2/((B142/F222)^2)</f>
        <v>0</v>
      </c>
      <c r="J222" s="183">
        <f>1*F222*SQRT(INPUT!$B$2/INPUT!AO51)</f>
        <v>0</v>
      </c>
      <c r="K222" s="131">
        <f>IF(D222="Positive",IF(B142&lt;=IF(B222=0,0,1.2*J222*SQRT(1*1*INPUT!AO51/ABS(B222))),H222,H222*MAX(0.85/(1-ABS(B222)/I222),1)),H222)</f>
        <v>9.5410629309398463</v>
      </c>
      <c r="L222" s="180">
        <f>0.6*INPUT!AO51</f>
        <v>228</v>
      </c>
      <c r="M222" s="393" t="str">
        <f>IF(ABS(K222)&lt;=L222,"OK","NG")</f>
        <v>OK</v>
      </c>
      <c r="N222" s="186">
        <f>IF(K222=0,"Inf",L222/ABS(K222))</f>
        <v>23.896708537645161</v>
      </c>
      <c r="O222" s="296"/>
    </row>
    <row r="223">
      <c r="A223" s="182">
        <f>A143</f>
        <v>101</v>
      </c>
      <c r="B223" s="183">
        <f>INPUT!AR52</f>
        <v>0.60695545900194237</v>
      </c>
      <c r="C223" s="183">
        <f>INPUT!AS52</f>
        <v>-0.5613011256267133</v>
      </c>
      <c r="D223" s="60" t="str">
        <f>IF(B223&lt;=0,"Positive","Negative")</f>
        <v>Negative</v>
      </c>
      <c r="E223" s="183">
        <f>INPUT!AV52</f>
        <v>1360.1280922046149</v>
      </c>
      <c r="F223" s="184">
        <f>INPUT!I52/SQRT(12*(1+E223*INPUT!O52/(3*INPUT!I52*INPUT!J52)))</f>
        <v>118.06415136368361</v>
      </c>
      <c r="G223" s="185">
        <f>(INPUT!J52*INPUT!I52^2)/6</f>
        <v>916666.66666666663</v>
      </c>
      <c r="H223" s="131">
        <f>IF(INPUT!H52=1,0,(H143*1.25+K143*1.25+L143*1.5+1.5*N143)/G223*10^6)</f>
        <v>9.5410629309398463</v>
      </c>
      <c r="I223" s="184">
        <f>1*1*PI()^2*INPUT!$B$2/((B143/F223)^2)</f>
        <v>0</v>
      </c>
      <c r="J223" s="183">
        <f>1*F223*SQRT(INPUT!$B$2/INPUT!AO52)</f>
        <v>0</v>
      </c>
      <c r="K223" s="131">
        <f>IF(D223="Positive",IF(B143&lt;=IF(B223=0,0,1.2*J223*SQRT(1*1*INPUT!AO52/ABS(B223))),H223,H223*MAX(0.85/(1-ABS(B223)/I223),1)),H223)</f>
        <v>9.5410629309398463</v>
      </c>
      <c r="L223" s="180">
        <f>0.6*INPUT!AO52</f>
        <v>228</v>
      </c>
      <c r="M223" s="393" t="str">
        <f>IF(ABS(K223)&lt;=L223,"OK","NG")</f>
        <v>OK</v>
      </c>
      <c r="N223" s="186">
        <f>IF(K223=0,"Inf",L223/ABS(K223))</f>
        <v>23.896708537645161</v>
      </c>
      <c r="O223" s="296"/>
    </row>
    <row r="224">
      <c r="A224" s="182">
        <f>A144</f>
        <v>101</v>
      </c>
      <c r="B224" s="183">
        <f>INPUT!AR53</f>
        <v>0.60695545900194237</v>
      </c>
      <c r="C224" s="183">
        <f>INPUT!AS53</f>
        <v>-0.5613011256267133</v>
      </c>
      <c r="D224" s="60" t="str">
        <f>IF(B224&lt;=0,"Positive","Negative")</f>
        <v>Negative</v>
      </c>
      <c r="E224" s="183">
        <f>INPUT!AV53</f>
        <v>1360.1280922046149</v>
      </c>
      <c r="F224" s="184">
        <f>INPUT!I53/SQRT(12*(1+E224*INPUT!O53/(3*INPUT!I53*INPUT!J53)))</f>
        <v>118.06415136368361</v>
      </c>
      <c r="G224" s="185">
        <f>(INPUT!J53*INPUT!I53^2)/6</f>
        <v>916666.66666666663</v>
      </c>
      <c r="H224" s="131">
        <f>IF(INPUT!H53=1,0,(H144*1.25+K144*1.25+L144*1.5+1.5*N144)/G224*10^6)</f>
        <v>9.5410629309398463</v>
      </c>
      <c r="I224" s="184">
        <f>1*1*PI()^2*INPUT!$B$2/((B144/F224)^2)</f>
        <v>0</v>
      </c>
      <c r="J224" s="183">
        <f>1*F224*SQRT(INPUT!$B$2/INPUT!AO53)</f>
        <v>0</v>
      </c>
      <c r="K224" s="131">
        <f>IF(D224="Positive",IF(B144&lt;=IF(B224=0,0,1.2*J224*SQRT(1*1*INPUT!AO53/ABS(B224))),H224,H224*MAX(0.85/(1-ABS(B224)/I224),1)),H224)</f>
        <v>9.5410629309398463</v>
      </c>
      <c r="L224" s="180">
        <f>0.6*INPUT!AO53</f>
        <v>228</v>
      </c>
      <c r="M224" s="393" t="str">
        <f>IF(ABS(K224)&lt;=L224,"OK","NG")</f>
        <v>OK</v>
      </c>
      <c r="N224" s="186">
        <f>IF(K224=0,"Inf",L224/ABS(K224))</f>
        <v>23.896708537645161</v>
      </c>
      <c r="O224" s="296"/>
    </row>
    <row r="225">
      <c r="A225" s="182">
        <f>A145</f>
        <v>101</v>
      </c>
      <c r="B225" s="183">
        <f>INPUT!AR54</f>
        <v>0.60695545900194237</v>
      </c>
      <c r="C225" s="183">
        <f>INPUT!AS54</f>
        <v>-0.5613011256267133</v>
      </c>
      <c r="D225" s="60" t="str">
        <f>IF(B225&lt;=0,"Positive","Negative")</f>
        <v>Negative</v>
      </c>
      <c r="E225" s="183">
        <f>INPUT!AV54</f>
        <v>1360.1280922046149</v>
      </c>
      <c r="F225" s="184">
        <f>INPUT!I54/SQRT(12*(1+E225*INPUT!O54/(3*INPUT!I54*INPUT!J54)))</f>
        <v>118.06415136368361</v>
      </c>
      <c r="G225" s="185">
        <f>(INPUT!J54*INPUT!I54^2)/6</f>
        <v>916666.66666666663</v>
      </c>
      <c r="H225" s="131">
        <f>IF(INPUT!H54=1,0,(H145*1.25+K145*1.25+L145*1.5+1.5*N145)/G225*10^6)</f>
        <v>9.5410629309398463</v>
      </c>
      <c r="I225" s="184">
        <f>1*1*PI()^2*INPUT!$B$2/((B145/F225)^2)</f>
        <v>0</v>
      </c>
      <c r="J225" s="183">
        <f>1*F225*SQRT(INPUT!$B$2/INPUT!AO54)</f>
        <v>0</v>
      </c>
      <c r="K225" s="131">
        <f>IF(D225="Positive",IF(B145&lt;=IF(B225=0,0,1.2*J225*SQRT(1*1*INPUT!AO54/ABS(B225))),H225,H225*MAX(0.85/(1-ABS(B225)/I225),1)),H225)</f>
        <v>9.5410629309398463</v>
      </c>
      <c r="L225" s="180">
        <f>0.6*INPUT!AO54</f>
        <v>228</v>
      </c>
      <c r="M225" s="393" t="str">
        <f>IF(ABS(K225)&lt;=L225,"OK","NG")</f>
        <v>OK</v>
      </c>
      <c r="N225" s="186">
        <f>IF(K225=0,"Inf",L225/ABS(K225))</f>
        <v>23.896708537645161</v>
      </c>
      <c r="O225" s="296"/>
    </row>
    <row r="226">
      <c r="A226" s="182">
        <f>A146</f>
        <v>101</v>
      </c>
      <c r="B226" s="183">
        <f>INPUT!AR55</f>
        <v>0.60695545900194237</v>
      </c>
      <c r="C226" s="183">
        <f>INPUT!AS55</f>
        <v>-0.5613011256267133</v>
      </c>
      <c r="D226" s="60" t="str">
        <f>IF(B226&lt;=0,"Positive","Negative")</f>
        <v>Negative</v>
      </c>
      <c r="E226" s="183">
        <f>INPUT!AV55</f>
        <v>1360.1280922046149</v>
      </c>
      <c r="F226" s="184">
        <f>INPUT!I55/SQRT(12*(1+E226*INPUT!O55/(3*INPUT!I55*INPUT!J55)))</f>
        <v>118.06415136368361</v>
      </c>
      <c r="G226" s="185">
        <f>(INPUT!J55*INPUT!I55^2)/6</f>
        <v>916666.66666666663</v>
      </c>
      <c r="H226" s="131">
        <f>IF(INPUT!H55=1,0,(H146*1.25+K146*1.25+L146*1.5+1.5*N146)/G226*10^6)</f>
        <v>9.5410629309398463</v>
      </c>
      <c r="I226" s="184">
        <f>1*1*PI()^2*INPUT!$B$2/((B146/F226)^2)</f>
        <v>0</v>
      </c>
      <c r="J226" s="183">
        <f>1*F226*SQRT(INPUT!$B$2/INPUT!AO55)</f>
        <v>0</v>
      </c>
      <c r="K226" s="131">
        <f>IF(D226="Positive",IF(B146&lt;=IF(B226=0,0,1.2*J226*SQRT(1*1*INPUT!AO55/ABS(B226))),H226,H226*MAX(0.85/(1-ABS(B226)/I226),1)),H226)</f>
        <v>9.5410629309398463</v>
      </c>
      <c r="L226" s="180">
        <f>0.6*INPUT!AO55</f>
        <v>228</v>
      </c>
      <c r="M226" s="393" t="str">
        <f>IF(ABS(K226)&lt;=L226,"OK","NG")</f>
        <v>OK</v>
      </c>
      <c r="N226" s="186">
        <f>IF(K226=0,"Inf",L226/ABS(K226))</f>
        <v>23.896708537645161</v>
      </c>
      <c r="O226" s="296"/>
    </row>
    <row r="227">
      <c r="A227" s="182">
        <f>A147</f>
        <v>101</v>
      </c>
      <c r="B227" s="183">
        <f>INPUT!AR56</f>
        <v>0.60695545900194237</v>
      </c>
      <c r="C227" s="183">
        <f>INPUT!AS56</f>
        <v>-0.5613011256267133</v>
      </c>
      <c r="D227" s="60" t="str">
        <f>IF(B227&lt;=0,"Positive","Negative")</f>
        <v>Negative</v>
      </c>
      <c r="E227" s="183">
        <f>INPUT!AV56</f>
        <v>1360.1280922046149</v>
      </c>
      <c r="F227" s="184">
        <f>INPUT!I56/SQRT(12*(1+E227*INPUT!O56/(3*INPUT!I56*INPUT!J56)))</f>
        <v>118.06415136368361</v>
      </c>
      <c r="G227" s="185">
        <f>(INPUT!J56*INPUT!I56^2)/6</f>
        <v>916666.66666666663</v>
      </c>
      <c r="H227" s="131">
        <f>IF(INPUT!H56=1,0,(H147*1.25+K147*1.25+L147*1.5+1.5*N147)/G227*10^6)</f>
        <v>9.5410629309398463</v>
      </c>
      <c r="I227" s="184">
        <f>1*1*PI()^2*INPUT!$B$2/((B147/F227)^2)</f>
        <v>0</v>
      </c>
      <c r="J227" s="183">
        <f>1*F227*SQRT(INPUT!$B$2/INPUT!AO56)</f>
        <v>0</v>
      </c>
      <c r="K227" s="131">
        <f>IF(D227="Positive",IF(B147&lt;=IF(B227=0,0,1.2*J227*SQRT(1*1*INPUT!AO56/ABS(B227))),H227,H227*MAX(0.85/(1-ABS(B227)/I227),1)),H227)</f>
        <v>9.5410629309398463</v>
      </c>
      <c r="L227" s="180">
        <f>0.6*INPUT!AO56</f>
        <v>228</v>
      </c>
      <c r="M227" s="393" t="str">
        <f>IF(ABS(K227)&lt;=L227,"OK","NG")</f>
        <v>OK</v>
      </c>
      <c r="N227" s="186">
        <f>IF(K227=0,"Inf",L227/ABS(K227))</f>
        <v>23.896708537645161</v>
      </c>
      <c r="O227" s="296"/>
    </row>
    <row r="228">
      <c r="A228" s="182">
        <f>A148</f>
        <v>101</v>
      </c>
      <c r="B228" s="183">
        <f>INPUT!AR57</f>
        <v>0.60695545900194237</v>
      </c>
      <c r="C228" s="183">
        <f>INPUT!AS57</f>
        <v>-0.5613011256267133</v>
      </c>
      <c r="D228" s="60" t="str">
        <f>IF(B228&lt;=0,"Positive","Negative")</f>
        <v>Negative</v>
      </c>
      <c r="E228" s="183">
        <f>INPUT!AV57</f>
        <v>1360.1280922046149</v>
      </c>
      <c r="F228" s="184">
        <f>INPUT!I57/SQRT(12*(1+E228*INPUT!O57/(3*INPUT!I57*INPUT!J57)))</f>
        <v>118.06415136368361</v>
      </c>
      <c r="G228" s="185">
        <f>(INPUT!J57*INPUT!I57^2)/6</f>
        <v>916666.66666666663</v>
      </c>
      <c r="H228" s="131">
        <f>IF(INPUT!H57=1,0,(H148*1.25+K148*1.25+L148*1.5+1.5*N148)/G228*10^6)</f>
        <v>9.5410629309398463</v>
      </c>
      <c r="I228" s="184">
        <f>1*1*PI()^2*INPUT!$B$2/((B148/F228)^2)</f>
        <v>0</v>
      </c>
      <c r="J228" s="183">
        <f>1*F228*SQRT(INPUT!$B$2/INPUT!AO57)</f>
        <v>0</v>
      </c>
      <c r="K228" s="131">
        <f>IF(D228="Positive",IF(B148&lt;=IF(B228=0,0,1.2*J228*SQRT(1*1*INPUT!AO57/ABS(B228))),H228,H228*MAX(0.85/(1-ABS(B228)/I228),1)),H228)</f>
        <v>9.5410629309398463</v>
      </c>
      <c r="L228" s="180">
        <f>0.6*INPUT!AO57</f>
        <v>228</v>
      </c>
      <c r="M228" s="393" t="str">
        <f>IF(ABS(K228)&lt;=L228,"OK","NG")</f>
        <v>OK</v>
      </c>
      <c r="N228" s="186">
        <f>IF(K228=0,"Inf",L228/ABS(K228))</f>
        <v>23.896708537645161</v>
      </c>
      <c r="O228" s="296"/>
    </row>
    <row r="229">
      <c r="A229" s="182">
        <f>A149</f>
        <v>101</v>
      </c>
      <c r="B229" s="183">
        <f>INPUT!AR58</f>
        <v>0.60695545900194237</v>
      </c>
      <c r="C229" s="183">
        <f>INPUT!AS58</f>
        <v>-0.5613011256267133</v>
      </c>
      <c r="D229" s="60" t="str">
        <f>IF(B229&lt;=0,"Positive","Negative")</f>
        <v>Negative</v>
      </c>
      <c r="E229" s="183">
        <f>INPUT!AV58</f>
        <v>1360.1280922046149</v>
      </c>
      <c r="F229" s="184">
        <f>INPUT!I58/SQRT(12*(1+E229*INPUT!O58/(3*INPUT!I58*INPUT!J58)))</f>
        <v>118.06415136368361</v>
      </c>
      <c r="G229" s="185">
        <f>(INPUT!J58*INPUT!I58^2)/6</f>
        <v>916666.66666666663</v>
      </c>
      <c r="H229" s="131">
        <f>IF(INPUT!H58=1,0,(H149*1.25+K149*1.25+L149*1.5+1.5*N149)/G229*10^6)</f>
        <v>9.5410629309398463</v>
      </c>
      <c r="I229" s="184">
        <f>1*1*PI()^2*INPUT!$B$2/((B149/F229)^2)</f>
        <v>0</v>
      </c>
      <c r="J229" s="183">
        <f>1*F229*SQRT(INPUT!$B$2/INPUT!AO58)</f>
        <v>0</v>
      </c>
      <c r="K229" s="131">
        <f>IF(D229="Positive",IF(B149&lt;=IF(B229=0,0,1.2*J229*SQRT(1*1*INPUT!AO58/ABS(B229))),H229,H229*MAX(0.85/(1-ABS(B229)/I229),1)),H229)</f>
        <v>9.5410629309398463</v>
      </c>
      <c r="L229" s="180">
        <f>0.6*INPUT!AO58</f>
        <v>228</v>
      </c>
      <c r="M229" s="393" t="str">
        <f>IF(ABS(K229)&lt;=L229,"OK","NG")</f>
        <v>OK</v>
      </c>
      <c r="N229" s="186">
        <f>IF(K229=0,"Inf",L229/ABS(K229))</f>
        <v>23.896708537645161</v>
      </c>
      <c r="O229" s="296"/>
    </row>
    <row r="230">
      <c r="A230" s="182">
        <f>A150</f>
        <v>101</v>
      </c>
      <c r="B230" s="183">
        <f>INPUT!AR59</f>
        <v>0.60695545900194237</v>
      </c>
      <c r="C230" s="183">
        <f>INPUT!AS59</f>
        <v>-0.5613011256267133</v>
      </c>
      <c r="D230" s="60" t="str">
        <f>IF(B230&lt;=0,"Positive","Negative")</f>
        <v>Negative</v>
      </c>
      <c r="E230" s="183">
        <f>INPUT!AV59</f>
        <v>1360.1280922046149</v>
      </c>
      <c r="F230" s="184">
        <f>INPUT!I59/SQRT(12*(1+E230*INPUT!O59/(3*INPUT!I59*INPUT!J59)))</f>
        <v>118.06415136368361</v>
      </c>
      <c r="G230" s="185">
        <f>(INPUT!J59*INPUT!I59^2)/6</f>
        <v>916666.66666666663</v>
      </c>
      <c r="H230" s="131">
        <f>IF(INPUT!H59=1,0,(H150*1.25+K150*1.25+L150*1.5+1.5*N150)/G230*10^6)</f>
        <v>9.5410629309398463</v>
      </c>
      <c r="I230" s="184">
        <f>1*1*PI()^2*INPUT!$B$2/((B150/F230)^2)</f>
        <v>0</v>
      </c>
      <c r="J230" s="183">
        <f>1*F230*SQRT(INPUT!$B$2/INPUT!AO59)</f>
        <v>0</v>
      </c>
      <c r="K230" s="131">
        <f>IF(D230="Positive",IF(B150&lt;=IF(B230=0,0,1.2*J230*SQRT(1*1*INPUT!AO59/ABS(B230))),H230,H230*MAX(0.85/(1-ABS(B230)/I230),1)),H230)</f>
        <v>9.5410629309398463</v>
      </c>
      <c r="L230" s="180">
        <f>0.6*INPUT!AO59</f>
        <v>228</v>
      </c>
      <c r="M230" s="393" t="str">
        <f>IF(ABS(K230)&lt;=L230,"OK","NG")</f>
        <v>OK</v>
      </c>
      <c r="N230" s="186">
        <f>IF(K230=0,"Inf",L230/ABS(K230))</f>
        <v>23.896708537645161</v>
      </c>
      <c r="O230" s="296"/>
    </row>
    <row r="231">
      <c r="A231" s="182">
        <f>A151</f>
        <v>101</v>
      </c>
      <c r="B231" s="183">
        <f>INPUT!AR60</f>
        <v>0.60695545900194237</v>
      </c>
      <c r="C231" s="183">
        <f>INPUT!AS60</f>
        <v>-0.5613011256267133</v>
      </c>
      <c r="D231" s="60" t="str">
        <f>IF(B231&lt;=0,"Positive","Negative")</f>
        <v>Negative</v>
      </c>
      <c r="E231" s="183">
        <f>INPUT!AV60</f>
        <v>1360.1280922046149</v>
      </c>
      <c r="F231" s="184">
        <f>INPUT!I60/SQRT(12*(1+E231*INPUT!O60/(3*INPUT!I60*INPUT!J60)))</f>
        <v>118.06415136368361</v>
      </c>
      <c r="G231" s="185">
        <f>(INPUT!J60*INPUT!I60^2)/6</f>
        <v>916666.66666666663</v>
      </c>
      <c r="H231" s="131">
        <f>IF(INPUT!H60=1,0,(H151*1.25+K151*1.25+L151*1.5+1.5*N151)/G231*10^6)</f>
        <v>9.5410629309398463</v>
      </c>
      <c r="I231" s="184">
        <f>1*1*PI()^2*INPUT!$B$2/((B151/F231)^2)</f>
        <v>0</v>
      </c>
      <c r="J231" s="183">
        <f>1*F231*SQRT(INPUT!$B$2/INPUT!AO60)</f>
        <v>0</v>
      </c>
      <c r="K231" s="131">
        <f>IF(D231="Positive",IF(B151&lt;=IF(B231=0,0,1.2*J231*SQRT(1*1*INPUT!AO60/ABS(B231))),H231,H231*MAX(0.85/(1-ABS(B231)/I231),1)),H231)</f>
        <v>9.5410629309398463</v>
      </c>
      <c r="L231" s="180">
        <f>0.6*INPUT!AO60</f>
        <v>228</v>
      </c>
      <c r="M231" s="393" t="str">
        <f>IF(ABS(K231)&lt;=L231,"OK","NG")</f>
        <v>OK</v>
      </c>
      <c r="N231" s="186">
        <f>IF(K231=0,"Inf",L231/ABS(K231))</f>
        <v>23.896708537645161</v>
      </c>
      <c r="O231" s="296"/>
    </row>
    <row r="232">
      <c r="A232" s="182">
        <f>A152</f>
        <v>101</v>
      </c>
      <c r="B232" s="183">
        <f>INPUT!AR61</f>
        <v>0.60695545900194237</v>
      </c>
      <c r="C232" s="183">
        <f>INPUT!AS61</f>
        <v>-0.5613011256267133</v>
      </c>
      <c r="D232" s="60" t="str">
        <f>IF(B232&lt;=0,"Positive","Negative")</f>
        <v>Negative</v>
      </c>
      <c r="E232" s="183">
        <f>INPUT!AV61</f>
        <v>1360.1280922046149</v>
      </c>
      <c r="F232" s="184">
        <f>INPUT!I61/SQRT(12*(1+E232*INPUT!O61/(3*INPUT!I61*INPUT!J61)))</f>
        <v>118.06415136368361</v>
      </c>
      <c r="G232" s="185">
        <f>(INPUT!J61*INPUT!I61^2)/6</f>
        <v>916666.66666666663</v>
      </c>
      <c r="H232" s="131">
        <f>IF(INPUT!H61=1,0,(H152*1.25+K152*1.25+L152*1.5+1.5*N152)/G232*10^6)</f>
        <v>9.5410629309398463</v>
      </c>
      <c r="I232" s="184">
        <f>1*1*PI()^2*INPUT!$B$2/((B152/F232)^2)</f>
        <v>0</v>
      </c>
      <c r="J232" s="183">
        <f>1*F232*SQRT(INPUT!$B$2/INPUT!AO61)</f>
        <v>0</v>
      </c>
      <c r="K232" s="131">
        <f>IF(D232="Positive",IF(B152&lt;=IF(B232=0,0,1.2*J232*SQRT(1*1*INPUT!AO61/ABS(B232))),H232,H232*MAX(0.85/(1-ABS(B232)/I232),1)),H232)</f>
        <v>9.5410629309398463</v>
      </c>
      <c r="L232" s="180">
        <f>0.6*INPUT!AO61</f>
        <v>228</v>
      </c>
      <c r="M232" s="393" t="str">
        <f>IF(ABS(K232)&lt;=L232,"OK","NG")</f>
        <v>OK</v>
      </c>
      <c r="N232" s="186">
        <f>IF(K232=0,"Inf",L232/ABS(K232))</f>
        <v>23.896708537645161</v>
      </c>
      <c r="O232" s="296"/>
    </row>
    <row r="233">
      <c r="A233" s="182">
        <f>A153</f>
        <v>101</v>
      </c>
      <c r="B233" s="183">
        <f>INPUT!AR62</f>
        <v>0.60695545900194237</v>
      </c>
      <c r="C233" s="183">
        <f>INPUT!AS62</f>
        <v>-0.5613011256267133</v>
      </c>
      <c r="D233" s="60" t="str">
        <f>IF(B233&lt;=0,"Positive","Negative")</f>
        <v>Negative</v>
      </c>
      <c r="E233" s="183">
        <f>INPUT!AV62</f>
        <v>1360.1280922046149</v>
      </c>
      <c r="F233" s="184">
        <f>INPUT!I62/SQRT(12*(1+E233*INPUT!O62/(3*INPUT!I62*INPUT!J62)))</f>
        <v>118.06415136368361</v>
      </c>
      <c r="G233" s="185">
        <f>(INPUT!J62*INPUT!I62^2)/6</f>
        <v>916666.66666666663</v>
      </c>
      <c r="H233" s="131">
        <f>IF(INPUT!H62=1,0,(H153*1.25+K153*1.25+L153*1.5+1.5*N153)/G233*10^6)</f>
        <v>9.5410629309398463</v>
      </c>
      <c r="I233" s="184">
        <f>1*1*PI()^2*INPUT!$B$2/((B153/F233)^2)</f>
        <v>0</v>
      </c>
      <c r="J233" s="183">
        <f>1*F233*SQRT(INPUT!$B$2/INPUT!AO62)</f>
        <v>0</v>
      </c>
      <c r="K233" s="131">
        <f>IF(D233="Positive",IF(B153&lt;=IF(B233=0,0,1.2*J233*SQRT(1*1*INPUT!AO62/ABS(B233))),H233,H233*MAX(0.85/(1-ABS(B233)/I233),1)),H233)</f>
        <v>9.5410629309398463</v>
      </c>
      <c r="L233" s="180">
        <f>0.6*INPUT!AO62</f>
        <v>228</v>
      </c>
      <c r="M233" s="393" t="str">
        <f>IF(ABS(K233)&lt;=L233,"OK","NG")</f>
        <v>OK</v>
      </c>
      <c r="N233" s="186">
        <f>IF(K233=0,"Inf",L233/ABS(K233))</f>
        <v>23.896708537645161</v>
      </c>
      <c r="O233" s="296"/>
    </row>
    <row r="234">
      <c r="A234" s="182">
        <f>A154</f>
        <v>101</v>
      </c>
      <c r="B234" s="183">
        <f>INPUT!AR63</f>
        <v>0.60695545900194237</v>
      </c>
      <c r="C234" s="183">
        <f>INPUT!AS63</f>
        <v>-0.5613011256267133</v>
      </c>
      <c r="D234" s="60" t="str">
        <f>IF(B234&lt;=0,"Positive","Negative")</f>
        <v>Negative</v>
      </c>
      <c r="E234" s="183">
        <f>INPUT!AV63</f>
        <v>1360.1280922046149</v>
      </c>
      <c r="F234" s="184">
        <f>INPUT!I63/SQRT(12*(1+E234*INPUT!O63/(3*INPUT!I63*INPUT!J63)))</f>
        <v>118.06415136368361</v>
      </c>
      <c r="G234" s="185">
        <f>(INPUT!J63*INPUT!I63^2)/6</f>
        <v>916666.66666666663</v>
      </c>
      <c r="H234" s="131">
        <f>IF(INPUT!H63=1,0,(H154*1.25+K154*1.25+L154*1.5+1.5*N154)/G234*10^6)</f>
        <v>9.5410629309398463</v>
      </c>
      <c r="I234" s="184">
        <f>1*1*PI()^2*INPUT!$B$2/((B154/F234)^2)</f>
        <v>0</v>
      </c>
      <c r="J234" s="183">
        <f>1*F234*SQRT(INPUT!$B$2/INPUT!AO63)</f>
        <v>0</v>
      </c>
      <c r="K234" s="131">
        <f>IF(D234="Positive",IF(B154&lt;=IF(B234=0,0,1.2*J234*SQRT(1*1*INPUT!AO63/ABS(B234))),H234,H234*MAX(0.85/(1-ABS(B234)/I234),1)),H234)</f>
        <v>9.5410629309398463</v>
      </c>
      <c r="L234" s="180">
        <f>0.6*INPUT!AO63</f>
        <v>228</v>
      </c>
      <c r="M234" s="393" t="str">
        <f>IF(ABS(K234)&lt;=L234,"OK","NG")</f>
        <v>OK</v>
      </c>
      <c r="N234" s="186">
        <f>IF(K234=0,"Inf",L234/ABS(K234))</f>
        <v>23.896708537645161</v>
      </c>
      <c r="O234" s="296"/>
    </row>
    <row r="235">
      <c r="A235" s="182">
        <f>A155</f>
        <v>101</v>
      </c>
      <c r="B235" s="183">
        <f>INPUT!AR64</f>
        <v>0.60695545900194237</v>
      </c>
      <c r="C235" s="183">
        <f>INPUT!AS64</f>
        <v>-0.5613011256267133</v>
      </c>
      <c r="D235" s="60" t="str">
        <f>IF(B235&lt;=0,"Positive","Negative")</f>
        <v>Negative</v>
      </c>
      <c r="E235" s="183">
        <f>INPUT!AV64</f>
        <v>1360.1280922046149</v>
      </c>
      <c r="F235" s="184">
        <f>INPUT!I64/SQRT(12*(1+E235*INPUT!O64/(3*INPUT!I64*INPUT!J64)))</f>
        <v>118.06415136368361</v>
      </c>
      <c r="G235" s="185">
        <f>(INPUT!J64*INPUT!I64^2)/6</f>
        <v>916666.66666666663</v>
      </c>
      <c r="H235" s="131">
        <f>IF(INPUT!H64=1,0,(H155*1.25+K155*1.25+L155*1.5+1.5*N155)/G235*10^6)</f>
        <v>9.5410629309398463</v>
      </c>
      <c r="I235" s="184">
        <f>1*1*PI()^2*INPUT!$B$2/((B155/F235)^2)</f>
        <v>0</v>
      </c>
      <c r="J235" s="183">
        <f>1*F235*SQRT(INPUT!$B$2/INPUT!AO64)</f>
        <v>0</v>
      </c>
      <c r="K235" s="131">
        <f>IF(D235="Positive",IF(B155&lt;=IF(B235=0,0,1.2*J235*SQRT(1*1*INPUT!AO64/ABS(B235))),H235,H235*MAX(0.85/(1-ABS(B235)/I235),1)),H235)</f>
        <v>9.5410629309398463</v>
      </c>
      <c r="L235" s="180">
        <f>0.6*INPUT!AO64</f>
        <v>228</v>
      </c>
      <c r="M235" s="393" t="str">
        <f>IF(ABS(K235)&lt;=L235,"OK","NG")</f>
        <v>OK</v>
      </c>
      <c r="N235" s="186">
        <f>IF(K235=0,"Inf",L235/ABS(K235))</f>
        <v>23.896708537645161</v>
      </c>
      <c r="O235" s="296"/>
    </row>
    <row r="236">
      <c r="A236" s="182">
        <f>A156</f>
        <v>101</v>
      </c>
      <c r="B236" s="183">
        <f>INPUT!AR65</f>
        <v>0.60695545900194237</v>
      </c>
      <c r="C236" s="183">
        <f>INPUT!AS65</f>
        <v>-0.5613011256267133</v>
      </c>
      <c r="D236" s="60" t="str">
        <f>IF(B236&lt;=0,"Positive","Negative")</f>
        <v>Negative</v>
      </c>
      <c r="E236" s="183">
        <f>INPUT!AV65</f>
        <v>1360.1280922046149</v>
      </c>
      <c r="F236" s="184">
        <f>INPUT!I65/SQRT(12*(1+E236*INPUT!O65/(3*INPUT!I65*INPUT!J65)))</f>
        <v>118.06415136368361</v>
      </c>
      <c r="G236" s="185">
        <f>(INPUT!J65*INPUT!I65^2)/6</f>
        <v>916666.66666666663</v>
      </c>
      <c r="H236" s="131">
        <f>IF(INPUT!H65=1,0,(H156*1.25+K156*1.25+L156*1.5+1.5*N156)/G236*10^6)</f>
        <v>9.5410629309398463</v>
      </c>
      <c r="I236" s="184">
        <f>1*1*PI()^2*INPUT!$B$2/((B156/F236)^2)</f>
        <v>0</v>
      </c>
      <c r="J236" s="183">
        <f>1*F236*SQRT(INPUT!$B$2/INPUT!AO65)</f>
        <v>0</v>
      </c>
      <c r="K236" s="131">
        <f>IF(D236="Positive",IF(B156&lt;=IF(B236=0,0,1.2*J236*SQRT(1*1*INPUT!AO65/ABS(B236))),H236,H236*MAX(0.85/(1-ABS(B236)/I236),1)),H236)</f>
        <v>9.5410629309398463</v>
      </c>
      <c r="L236" s="180">
        <f>0.6*INPUT!AO65</f>
        <v>228</v>
      </c>
      <c r="M236" s="393" t="str">
        <f>IF(ABS(K236)&lt;=L236,"OK","NG")</f>
        <v>OK</v>
      </c>
      <c r="N236" s="186">
        <f>IF(K236=0,"Inf",L236/ABS(K236))</f>
        <v>23.896708537645161</v>
      </c>
      <c r="O236" s="296"/>
    </row>
    <row r="237">
      <c r="A237" s="182">
        <f>A157</f>
        <v>101</v>
      </c>
      <c r="B237" s="183">
        <f>INPUT!AR66</f>
        <v>0.60695545900194237</v>
      </c>
      <c r="C237" s="183">
        <f>INPUT!AS66</f>
        <v>-0.5613011256267133</v>
      </c>
      <c r="D237" s="60" t="str">
        <f>IF(B237&lt;=0,"Positive","Negative")</f>
        <v>Negative</v>
      </c>
      <c r="E237" s="183">
        <f>INPUT!AV66</f>
        <v>1360.1280922046149</v>
      </c>
      <c r="F237" s="184">
        <f>INPUT!I66/SQRT(12*(1+E237*INPUT!O66/(3*INPUT!I66*INPUT!J66)))</f>
        <v>118.06415136368361</v>
      </c>
      <c r="G237" s="185">
        <f>(INPUT!J66*INPUT!I66^2)/6</f>
        <v>916666.66666666663</v>
      </c>
      <c r="H237" s="131">
        <f>IF(INPUT!H66=1,0,(H157*1.25+K157*1.25+L157*1.5+1.5*N157)/G237*10^6)</f>
        <v>9.5410629309398463</v>
      </c>
      <c r="I237" s="184">
        <f>1*1*PI()^2*INPUT!$B$2/((B157/F237)^2)</f>
        <v>0</v>
      </c>
      <c r="J237" s="183">
        <f>1*F237*SQRT(INPUT!$B$2/INPUT!AO66)</f>
        <v>0</v>
      </c>
      <c r="K237" s="131">
        <f>IF(D237="Positive",IF(B157&lt;=IF(B237=0,0,1.2*J237*SQRT(1*1*INPUT!AO66/ABS(B237))),H237,H237*MAX(0.85/(1-ABS(B237)/I237),1)),H237)</f>
        <v>9.5410629309398463</v>
      </c>
      <c r="L237" s="180">
        <f>0.6*INPUT!AO66</f>
        <v>228</v>
      </c>
      <c r="M237" s="393" t="str">
        <f>IF(ABS(K237)&lt;=L237,"OK","NG")</f>
        <v>OK</v>
      </c>
      <c r="N237" s="186">
        <f>IF(K237=0,"Inf",L237/ABS(K237))</f>
        <v>23.896708537645161</v>
      </c>
      <c r="O237" s="296"/>
    </row>
    <row r="238">
      <c r="A238" s="182">
        <f>A158</f>
        <v>101</v>
      </c>
      <c r="B238" s="183">
        <f>INPUT!AR67</f>
        <v>0.60695545900194237</v>
      </c>
      <c r="C238" s="183">
        <f>INPUT!AS67</f>
        <v>-0.5613011256267133</v>
      </c>
      <c r="D238" s="60" t="str">
        <f>IF(B238&lt;=0,"Positive","Negative")</f>
        <v>Negative</v>
      </c>
      <c r="E238" s="183">
        <f>INPUT!AV67</f>
        <v>1360.1280922046149</v>
      </c>
      <c r="F238" s="184">
        <f>INPUT!I67/SQRT(12*(1+E238*INPUT!O67/(3*INPUT!I67*INPUT!J67)))</f>
        <v>118.06415136368361</v>
      </c>
      <c r="G238" s="185">
        <f>(INPUT!J67*INPUT!I67^2)/6</f>
        <v>916666.66666666663</v>
      </c>
      <c r="H238" s="131">
        <f>IF(INPUT!H67=1,0,(H158*1.25+K158*1.25+L158*1.5+1.5*N158)/G238*10^6)</f>
        <v>9.5410629309398463</v>
      </c>
      <c r="I238" s="184">
        <f>1*1*PI()^2*INPUT!$B$2/((B158/F238)^2)</f>
        <v>0</v>
      </c>
      <c r="J238" s="183">
        <f>1*F238*SQRT(INPUT!$B$2/INPUT!AO67)</f>
        <v>0</v>
      </c>
      <c r="K238" s="131">
        <f>IF(D238="Positive",IF(B158&lt;=IF(B238=0,0,1.2*J238*SQRT(1*1*INPUT!AO67/ABS(B238))),H238,H238*MAX(0.85/(1-ABS(B238)/I238),1)),H238)</f>
        <v>9.5410629309398463</v>
      </c>
      <c r="L238" s="180">
        <f>0.6*INPUT!AO67</f>
        <v>228</v>
      </c>
      <c r="M238" s="393" t="str">
        <f>IF(ABS(K238)&lt;=L238,"OK","NG")</f>
        <v>OK</v>
      </c>
      <c r="N238" s="186">
        <f>IF(K238=0,"Inf",L238/ABS(K238))</f>
        <v>23.896708537645161</v>
      </c>
      <c r="O238" s="296"/>
    </row>
    <row r="239">
      <c r="A239" s="182">
        <f>A159</f>
        <v>101</v>
      </c>
      <c r="B239" s="183">
        <f>INPUT!AR68</f>
        <v>0.60695545900194237</v>
      </c>
      <c r="C239" s="183">
        <f>INPUT!AS68</f>
        <v>-0.5613011256267133</v>
      </c>
      <c r="D239" s="60" t="str">
        <f>IF(B239&lt;=0,"Positive","Negative")</f>
        <v>Negative</v>
      </c>
      <c r="E239" s="183">
        <f>INPUT!AV68</f>
        <v>1360.1280922046149</v>
      </c>
      <c r="F239" s="184">
        <f>INPUT!I68/SQRT(12*(1+E239*INPUT!O68/(3*INPUT!I68*INPUT!J68)))</f>
        <v>118.06415136368361</v>
      </c>
      <c r="G239" s="185">
        <f>(INPUT!J68*INPUT!I68^2)/6</f>
        <v>916666.66666666663</v>
      </c>
      <c r="H239" s="131">
        <f>IF(INPUT!H68=1,0,(H159*1.25+K159*1.25+L159*1.5+1.5*N159)/G239*10^6)</f>
        <v>9.5410629309398463</v>
      </c>
      <c r="I239" s="184">
        <f>1*1*PI()^2*INPUT!$B$2/((B159/F239)^2)</f>
        <v>0</v>
      </c>
      <c r="J239" s="183">
        <f>1*F239*SQRT(INPUT!$B$2/INPUT!AO68)</f>
        <v>0</v>
      </c>
      <c r="K239" s="131">
        <f>IF(D239="Positive",IF(B159&lt;=IF(B239=0,0,1.2*J239*SQRT(1*1*INPUT!AO68/ABS(B239))),H239,H239*MAX(0.85/(1-ABS(B239)/I239),1)),H239)</f>
        <v>9.5410629309398463</v>
      </c>
      <c r="L239" s="180">
        <f>0.6*INPUT!AO68</f>
        <v>228</v>
      </c>
      <c r="M239" s="393" t="str">
        <f>IF(ABS(K239)&lt;=L239,"OK","NG")</f>
        <v>OK</v>
      </c>
      <c r="N239" s="186">
        <f>IF(K239=0,"Inf",L239/ABS(K239))</f>
        <v>23.896708537645161</v>
      </c>
      <c r="O239" s="296"/>
    </row>
    <row r="240">
      <c r="A240" s="182">
        <f>A160</f>
        <v>101</v>
      </c>
      <c r="B240" s="183">
        <f>INPUT!AR69</f>
        <v>0.60695545900194237</v>
      </c>
      <c r="C240" s="183">
        <f>INPUT!AS69</f>
        <v>-0.5613011256267133</v>
      </c>
      <c r="D240" s="60" t="str">
        <f>IF(B240&lt;=0,"Positive","Negative")</f>
        <v>Negative</v>
      </c>
      <c r="E240" s="183">
        <f>INPUT!AV69</f>
        <v>1360.1280922046149</v>
      </c>
      <c r="F240" s="184">
        <f>INPUT!I69/SQRT(12*(1+E240*INPUT!O69/(3*INPUT!I69*INPUT!J69)))</f>
        <v>118.06415136368361</v>
      </c>
      <c r="G240" s="185">
        <f>(INPUT!J69*INPUT!I69^2)/6</f>
        <v>916666.66666666663</v>
      </c>
      <c r="H240" s="131">
        <f>IF(INPUT!H69=1,0,(H160*1.25+K160*1.25+L160*1.5+1.5*N160)/G240*10^6)</f>
        <v>9.5410629309398463</v>
      </c>
      <c r="I240" s="184">
        <f>1*1*PI()^2*INPUT!$B$2/((B160/F240)^2)</f>
        <v>0</v>
      </c>
      <c r="J240" s="183">
        <f>1*F240*SQRT(INPUT!$B$2/INPUT!AO69)</f>
        <v>0</v>
      </c>
      <c r="K240" s="131">
        <f>IF(D240="Positive",IF(B160&lt;=IF(B240=0,0,1.2*J240*SQRT(1*1*INPUT!AO69/ABS(B240))),H240,H240*MAX(0.85/(1-ABS(B240)/I240),1)),H240)</f>
        <v>9.5410629309398463</v>
      </c>
      <c r="L240" s="180">
        <f>0.6*INPUT!AO69</f>
        <v>228</v>
      </c>
      <c r="M240" s="393" t="str">
        <f>IF(ABS(K240)&lt;=L240,"OK","NG")</f>
        <v>OK</v>
      </c>
      <c r="N240" s="186">
        <f>IF(K240=0,"Inf",L240/ABS(K240))</f>
        <v>23.896708537645161</v>
      </c>
      <c r="O240" s="296"/>
    </row>
    <row r="241">
      <c r="A241" s="182">
        <f>A161</f>
        <v>101</v>
      </c>
      <c r="B241" s="183">
        <f>INPUT!AR70</f>
        <v>0.60695545900194237</v>
      </c>
      <c r="C241" s="183">
        <f>INPUT!AS70</f>
        <v>-0.5613011256267133</v>
      </c>
      <c r="D241" s="60" t="str">
        <f>IF(B241&lt;=0,"Positive","Negative")</f>
        <v>Negative</v>
      </c>
      <c r="E241" s="183">
        <f>INPUT!AV70</f>
        <v>1360.1280922046149</v>
      </c>
      <c r="F241" s="184">
        <f>INPUT!I70/SQRT(12*(1+E241*INPUT!O70/(3*INPUT!I70*INPUT!J70)))</f>
        <v>118.06415136368361</v>
      </c>
      <c r="G241" s="185">
        <f>(INPUT!J70*INPUT!I70^2)/6</f>
        <v>916666.66666666663</v>
      </c>
      <c r="H241" s="131">
        <f>IF(INPUT!H70=1,0,(H161*1.25+K161*1.25+L161*1.5+1.5*N161)/G241*10^6)</f>
        <v>9.5410629309398463</v>
      </c>
      <c r="I241" s="184">
        <f>1*1*PI()^2*INPUT!$B$2/((B161/F241)^2)</f>
        <v>0</v>
      </c>
      <c r="J241" s="183">
        <f>1*F241*SQRT(INPUT!$B$2/INPUT!AO70)</f>
        <v>0</v>
      </c>
      <c r="K241" s="131">
        <f>IF(D241="Positive",IF(B161&lt;=IF(B241=0,0,1.2*J241*SQRT(1*1*INPUT!AO70/ABS(B241))),H241,H241*MAX(0.85/(1-ABS(B241)/I241),1)),H241)</f>
        <v>9.5410629309398463</v>
      </c>
      <c r="L241" s="180">
        <f>0.6*INPUT!AO70</f>
        <v>228</v>
      </c>
      <c r="M241" s="393" t="str">
        <f>IF(ABS(K241)&lt;=L241,"OK","NG")</f>
        <v>OK</v>
      </c>
      <c r="N241" s="186">
        <f>IF(K241=0,"Inf",L241/ABS(K241))</f>
        <v>23.896708537645161</v>
      </c>
      <c r="O241" s="296"/>
    </row>
    <row r="242">
      <c r="A242" s="182">
        <f>A162</f>
        <v>101</v>
      </c>
      <c r="B242" s="183">
        <f>INPUT!AR71</f>
        <v>0.60695545900194237</v>
      </c>
      <c r="C242" s="183">
        <f>INPUT!AS71</f>
        <v>-0.5613011256267133</v>
      </c>
      <c r="D242" s="60" t="str">
        <f>IF(B242&lt;=0,"Positive","Negative")</f>
        <v>Negative</v>
      </c>
      <c r="E242" s="183">
        <f>INPUT!AV71</f>
        <v>1360.1280922046149</v>
      </c>
      <c r="F242" s="184">
        <f>INPUT!I71/SQRT(12*(1+E242*INPUT!O71/(3*INPUT!I71*INPUT!J71)))</f>
        <v>118.06415136368361</v>
      </c>
      <c r="G242" s="185">
        <f>(INPUT!J71*INPUT!I71^2)/6</f>
        <v>916666.66666666663</v>
      </c>
      <c r="H242" s="131">
        <f>IF(INPUT!H71=1,0,(H162*1.25+K162*1.25+L162*1.5+1.5*N162)/G242*10^6)</f>
        <v>9.5410629309398463</v>
      </c>
      <c r="I242" s="184">
        <f>1*1*PI()^2*INPUT!$B$2/((B162/F242)^2)</f>
        <v>0</v>
      </c>
      <c r="J242" s="183">
        <f>1*F242*SQRT(INPUT!$B$2/INPUT!AO71)</f>
        <v>0</v>
      </c>
      <c r="K242" s="131">
        <f>IF(D242="Positive",IF(B162&lt;=IF(B242=0,0,1.2*J242*SQRT(1*1*INPUT!AO71/ABS(B242))),H242,H242*MAX(0.85/(1-ABS(B242)/I242),1)),H242)</f>
        <v>9.5410629309398463</v>
      </c>
      <c r="L242" s="180">
        <f>0.6*INPUT!AO71</f>
        <v>228</v>
      </c>
      <c r="M242" s="393" t="str">
        <f>IF(ABS(K242)&lt;=L242,"OK","NG")</f>
        <v>OK</v>
      </c>
      <c r="N242" s="186">
        <f>IF(K242=0,"Inf",L242/ABS(K242))</f>
        <v>23.896708537645161</v>
      </c>
      <c r="O242" s="296"/>
    </row>
    <row r="243">
      <c r="A243" s="182">
        <f>A163</f>
        <v>101</v>
      </c>
      <c r="B243" s="183">
        <f>INPUT!AR72</f>
        <v>0.60695545900194237</v>
      </c>
      <c r="C243" s="183">
        <f>INPUT!AS72</f>
        <v>-0.5613011256267133</v>
      </c>
      <c r="D243" s="60" t="str">
        <f>IF(B243&lt;=0,"Positive","Negative")</f>
        <v>Negative</v>
      </c>
      <c r="E243" s="183">
        <f>INPUT!AV72</f>
        <v>1360.1280922046149</v>
      </c>
      <c r="F243" s="184">
        <f>INPUT!I72/SQRT(12*(1+E243*INPUT!O72/(3*INPUT!I72*INPUT!J72)))</f>
        <v>118.06415136368361</v>
      </c>
      <c r="G243" s="185">
        <f>(INPUT!J72*INPUT!I72^2)/6</f>
        <v>916666.66666666663</v>
      </c>
      <c r="H243" s="131">
        <f>IF(INPUT!H72=1,0,(H163*1.25+K163*1.25+L163*1.5+1.5*N163)/G243*10^6)</f>
        <v>9.5410629309398463</v>
      </c>
      <c r="I243" s="184">
        <f>1*1*PI()^2*INPUT!$B$2/((B163/F243)^2)</f>
        <v>0</v>
      </c>
      <c r="J243" s="183">
        <f>1*F243*SQRT(INPUT!$B$2/INPUT!AO72)</f>
        <v>0</v>
      </c>
      <c r="K243" s="131">
        <f>IF(D243="Positive",IF(B163&lt;=IF(B243=0,0,1.2*J243*SQRT(1*1*INPUT!AO72/ABS(B243))),H243,H243*MAX(0.85/(1-ABS(B243)/I243),1)),H243)</f>
        <v>9.5410629309398463</v>
      </c>
      <c r="L243" s="180">
        <f>0.6*INPUT!AO72</f>
        <v>228</v>
      </c>
      <c r="M243" s="393" t="str">
        <f>IF(ABS(K243)&lt;=L243,"OK","NG")</f>
        <v>OK</v>
      </c>
      <c r="N243" s="186">
        <f>IF(K243=0,"Inf",L243/ABS(K243))</f>
        <v>23.896708537645161</v>
      </c>
      <c r="O243" s="296"/>
    </row>
    <row r="244">
      <c r="A244" s="182">
        <f>A164</f>
        <v>101</v>
      </c>
      <c r="B244" s="183">
        <f>INPUT!AR73</f>
        <v>0.60695545900194237</v>
      </c>
      <c r="C244" s="183">
        <f>INPUT!AS73</f>
        <v>-0.5613011256267133</v>
      </c>
      <c r="D244" s="60" t="str">
        <f>IF(B244&lt;=0,"Positive","Negative")</f>
        <v>Negative</v>
      </c>
      <c r="E244" s="183">
        <f>INPUT!AV73</f>
        <v>1360.1280922046149</v>
      </c>
      <c r="F244" s="184">
        <f>INPUT!I73/SQRT(12*(1+E244*INPUT!O73/(3*INPUT!I73*INPUT!J73)))</f>
        <v>118.06415136368361</v>
      </c>
      <c r="G244" s="185">
        <f>(INPUT!J73*INPUT!I73^2)/6</f>
        <v>916666.66666666663</v>
      </c>
      <c r="H244" s="131">
        <f>IF(INPUT!H73=1,0,(H164*1.25+K164*1.25+L164*1.5+1.5*N164)/G244*10^6)</f>
        <v>9.5410629309398463</v>
      </c>
      <c r="I244" s="184">
        <f>1*1*PI()^2*INPUT!$B$2/((B164/F244)^2)</f>
        <v>0</v>
      </c>
      <c r="J244" s="183">
        <f>1*F244*SQRT(INPUT!$B$2/INPUT!AO73)</f>
        <v>0</v>
      </c>
      <c r="K244" s="131">
        <f>IF(D244="Positive",IF(B164&lt;=IF(B244=0,0,1.2*J244*SQRT(1*1*INPUT!AO73/ABS(B244))),H244,H244*MAX(0.85/(1-ABS(B244)/I244),1)),H244)</f>
        <v>9.5410629309398463</v>
      </c>
      <c r="L244" s="180">
        <f>0.6*INPUT!AO73</f>
        <v>228</v>
      </c>
      <c r="M244" s="393" t="str">
        <f>IF(ABS(K244)&lt;=L244,"OK","NG")</f>
        <v>OK</v>
      </c>
      <c r="N244" s="186">
        <f>IF(K244=0,"Inf",L244/ABS(K244))</f>
        <v>23.896708537645161</v>
      </c>
      <c r="O244" s="296"/>
    </row>
    <row r="245">
      <c r="A245" s="182">
        <f>A165</f>
        <v>101</v>
      </c>
      <c r="B245" s="183">
        <f>INPUT!AR74</f>
        <v>0.60695545900194237</v>
      </c>
      <c r="C245" s="183">
        <f>INPUT!AS74</f>
        <v>-0.5613011256267133</v>
      </c>
      <c r="D245" s="60" t="str">
        <f>IF(B245&lt;=0,"Positive","Negative")</f>
        <v>Negative</v>
      </c>
      <c r="E245" s="183">
        <f>INPUT!AV74</f>
        <v>1360.1280922046149</v>
      </c>
      <c r="F245" s="184">
        <f>INPUT!I74/SQRT(12*(1+E245*INPUT!O74/(3*INPUT!I74*INPUT!J74)))</f>
        <v>118.06415136368361</v>
      </c>
      <c r="G245" s="185">
        <f>(INPUT!J74*INPUT!I74^2)/6</f>
        <v>916666.66666666663</v>
      </c>
      <c r="H245" s="131">
        <f>IF(INPUT!H74=1,0,(H165*1.25+K165*1.25+L165*1.5+1.5*N165)/G245*10^6)</f>
        <v>9.5410629309398463</v>
      </c>
      <c r="I245" s="184">
        <f>1*1*PI()^2*INPUT!$B$2/((B165/F245)^2)</f>
        <v>0</v>
      </c>
      <c r="J245" s="183">
        <f>1*F245*SQRT(INPUT!$B$2/INPUT!AO74)</f>
        <v>0</v>
      </c>
      <c r="K245" s="131">
        <f>IF(D245="Positive",IF(B165&lt;=IF(B245=0,0,1.2*J245*SQRT(1*1*INPUT!AO74/ABS(B245))),H245,H245*MAX(0.85/(1-ABS(B245)/I245),1)),H245)</f>
        <v>9.5410629309398463</v>
      </c>
      <c r="L245" s="180">
        <f>0.6*INPUT!AO74</f>
        <v>228</v>
      </c>
      <c r="M245" s="393" t="str">
        <f>IF(ABS(K245)&lt;=L245,"OK","NG")</f>
        <v>OK</v>
      </c>
      <c r="N245" s="186">
        <f>IF(K245=0,"Inf",L245/ABS(K245))</f>
        <v>23.896708537645161</v>
      </c>
      <c r="O245" s="296"/>
    </row>
    <row r="246">
      <c r="A246" s="182">
        <f>A166</f>
        <v>101</v>
      </c>
      <c r="B246" s="183">
        <f>INPUT!AR75</f>
        <v>0.60695545900194237</v>
      </c>
      <c r="C246" s="183">
        <f>INPUT!AS75</f>
        <v>-0.5613011256267133</v>
      </c>
      <c r="D246" s="60" t="str">
        <f>IF(B246&lt;=0,"Positive","Negative")</f>
        <v>Negative</v>
      </c>
      <c r="E246" s="183">
        <f>INPUT!AV75</f>
        <v>1360.1280922046149</v>
      </c>
      <c r="F246" s="184">
        <f>INPUT!I75/SQRT(12*(1+E246*INPUT!O75/(3*INPUT!I75*INPUT!J75)))</f>
        <v>118.06415136368361</v>
      </c>
      <c r="G246" s="185">
        <f>(INPUT!J75*INPUT!I75^2)/6</f>
        <v>916666.66666666663</v>
      </c>
      <c r="H246" s="131">
        <f>IF(INPUT!H75=1,0,(H166*1.25+K166*1.25+L166*1.5+1.5*N166)/G246*10^6)</f>
        <v>9.5410629309398463</v>
      </c>
      <c r="I246" s="184">
        <f>1*1*PI()^2*INPUT!$B$2/((B166/F246)^2)</f>
        <v>0</v>
      </c>
      <c r="J246" s="183">
        <f>1*F246*SQRT(INPUT!$B$2/INPUT!AO75)</f>
        <v>0</v>
      </c>
      <c r="K246" s="131">
        <f>IF(D246="Positive",IF(B166&lt;=IF(B246=0,0,1.2*J246*SQRT(1*1*INPUT!AO75/ABS(B246))),H246,H246*MAX(0.85/(1-ABS(B246)/I246),1)),H246)</f>
        <v>9.5410629309398463</v>
      </c>
      <c r="L246" s="180">
        <f>0.6*INPUT!AO75</f>
        <v>228</v>
      </c>
      <c r="M246" s="393" t="str">
        <f>IF(ABS(K246)&lt;=L246,"OK","NG")</f>
        <v>OK</v>
      </c>
      <c r="N246" s="186">
        <f>IF(K246=0,"Inf",L246/ABS(K246))</f>
        <v>23.896708537645161</v>
      </c>
      <c r="O246" s="296"/>
    </row>
    <row r="247">
      <c r="A247" s="182">
        <f>A167</f>
        <v>101</v>
      </c>
      <c r="B247" s="183">
        <f>INPUT!AR76</f>
        <v>0.60695545900194237</v>
      </c>
      <c r="C247" s="183">
        <f>INPUT!AS76</f>
        <v>-0.5613011256267133</v>
      </c>
      <c r="D247" s="60" t="str">
        <f>IF(B247&lt;=0,"Positive","Negative")</f>
        <v>Negative</v>
      </c>
      <c r="E247" s="183">
        <f>INPUT!AV76</f>
        <v>1360.1280922046149</v>
      </c>
      <c r="F247" s="184">
        <f>INPUT!I76/SQRT(12*(1+E247*INPUT!O76/(3*INPUT!I76*INPUT!J76)))</f>
        <v>118.06415136368361</v>
      </c>
      <c r="G247" s="185">
        <f>(INPUT!J76*INPUT!I76^2)/6</f>
        <v>916666.66666666663</v>
      </c>
      <c r="H247" s="131">
        <f>IF(INPUT!H76=1,0,(H167*1.25+K167*1.25+L167*1.5+1.5*N167)/G247*10^6)</f>
        <v>9.5410629309398463</v>
      </c>
      <c r="I247" s="184">
        <f>1*1*PI()^2*INPUT!$B$2/((B167/F247)^2)</f>
        <v>0</v>
      </c>
      <c r="J247" s="183">
        <f>1*F247*SQRT(INPUT!$B$2/INPUT!AO76)</f>
        <v>0</v>
      </c>
      <c r="K247" s="131">
        <f>IF(D247="Positive",IF(B167&lt;=IF(B247=0,0,1.2*J247*SQRT(1*1*INPUT!AO76/ABS(B247))),H247,H247*MAX(0.85/(1-ABS(B247)/I247),1)),H247)</f>
        <v>9.5410629309398463</v>
      </c>
      <c r="L247" s="180">
        <f>0.6*INPUT!AO76</f>
        <v>228</v>
      </c>
      <c r="M247" s="393" t="str">
        <f>IF(ABS(K247)&lt;=L247,"OK","NG")</f>
        <v>OK</v>
      </c>
      <c r="N247" s="186">
        <f>IF(K247=0,"Inf",L247/ABS(K247))</f>
        <v>23.896708537645161</v>
      </c>
      <c r="O247" s="296"/>
    </row>
    <row r="248">
      <c r="A248" s="182">
        <f>A168</f>
        <v>101</v>
      </c>
      <c r="B248" s="183">
        <f>INPUT!AR77</f>
        <v>0.60695545900194237</v>
      </c>
      <c r="C248" s="183">
        <f>INPUT!AS77</f>
        <v>-0.5613011256267133</v>
      </c>
      <c r="D248" s="60" t="str">
        <f>IF(B248&lt;=0,"Positive","Negative")</f>
        <v>Negative</v>
      </c>
      <c r="E248" s="183">
        <f>INPUT!AV77</f>
        <v>1360.1280922046149</v>
      </c>
      <c r="F248" s="184">
        <f>INPUT!I77/SQRT(12*(1+E248*INPUT!O77/(3*INPUT!I77*INPUT!J77)))</f>
        <v>118.06415136368361</v>
      </c>
      <c r="G248" s="185">
        <f>(INPUT!J77*INPUT!I77^2)/6</f>
        <v>916666.66666666663</v>
      </c>
      <c r="H248" s="131">
        <f>IF(INPUT!H77=1,0,(H168*1.25+K168*1.25+L168*1.5+1.5*N168)/G248*10^6)</f>
        <v>9.5410629309398463</v>
      </c>
      <c r="I248" s="184">
        <f>1*1*PI()^2*INPUT!$B$2/((B168/F248)^2)</f>
        <v>0</v>
      </c>
      <c r="J248" s="183">
        <f>1*F248*SQRT(INPUT!$B$2/INPUT!AO77)</f>
        <v>0</v>
      </c>
      <c r="K248" s="131">
        <f>IF(D248="Positive",IF(B168&lt;=IF(B248=0,0,1.2*J248*SQRT(1*1*INPUT!AO77/ABS(B248))),H248,H248*MAX(0.85/(1-ABS(B248)/I248),1)),H248)</f>
        <v>9.5410629309398463</v>
      </c>
      <c r="L248" s="180">
        <f>0.6*INPUT!AO77</f>
        <v>228</v>
      </c>
      <c r="M248" s="393" t="str">
        <f>IF(ABS(K248)&lt;=L248,"OK","NG")</f>
        <v>OK</v>
      </c>
      <c r="N248" s="186">
        <f>IF(K248=0,"Inf",L248/ABS(K248))</f>
        <v>23.896708537645161</v>
      </c>
      <c r="O248" s="296"/>
    </row>
    <row r="249">
      <c r="A249" s="182">
        <f>A169</f>
        <v>101</v>
      </c>
      <c r="B249" s="183">
        <f>INPUT!AR78</f>
        <v>0.60695545900194237</v>
      </c>
      <c r="C249" s="183">
        <f>INPUT!AS78</f>
        <v>-0.5613011256267133</v>
      </c>
      <c r="D249" s="60" t="str">
        <f>IF(B249&lt;=0,"Positive","Negative")</f>
        <v>Negative</v>
      </c>
      <c r="E249" s="183">
        <f>INPUT!AV78</f>
        <v>1360.1280922046149</v>
      </c>
      <c r="F249" s="184">
        <f>INPUT!I78/SQRT(12*(1+E249*INPUT!O78/(3*INPUT!I78*INPUT!J78)))</f>
        <v>118.06415136368361</v>
      </c>
      <c r="G249" s="185">
        <f>(INPUT!J78*INPUT!I78^2)/6</f>
        <v>916666.66666666663</v>
      </c>
      <c r="H249" s="131">
        <f>IF(INPUT!H78=1,0,(H169*1.25+K169*1.25+L169*1.5+1.5*N169)/G249*10^6)</f>
        <v>9.5410629309398463</v>
      </c>
      <c r="I249" s="184">
        <f>1*1*PI()^2*INPUT!$B$2/((B169/F249)^2)</f>
        <v>0</v>
      </c>
      <c r="J249" s="183">
        <f>1*F249*SQRT(INPUT!$B$2/INPUT!AO78)</f>
        <v>0</v>
      </c>
      <c r="K249" s="131">
        <f>IF(D249="Positive",IF(B169&lt;=IF(B249=0,0,1.2*J249*SQRT(1*1*INPUT!AO78/ABS(B249))),H249,H249*MAX(0.85/(1-ABS(B249)/I249),1)),H249)</f>
        <v>9.5410629309398463</v>
      </c>
      <c r="L249" s="180">
        <f>0.6*INPUT!AO78</f>
        <v>228</v>
      </c>
      <c r="M249" s="393" t="str">
        <f>IF(ABS(K249)&lt;=L249,"OK","NG")</f>
        <v>OK</v>
      </c>
      <c r="N249" s="186">
        <f>IF(K249=0,"Inf",L249/ABS(K249))</f>
        <v>23.896708537645161</v>
      </c>
      <c r="O249" s="296"/>
    </row>
    <row r="250" ht="1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5"/>
      <c r="M250" s="4"/>
      <c r="N250" s="64"/>
      <c r="O250" s="296"/>
    </row>
    <row r="251" ht="1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5"/>
      <c r="M251" s="4"/>
      <c r="N251" s="64"/>
      <c r="O251" s="296"/>
    </row>
    <row r="252" ht="15" customHeight="1">
      <c r="A252" s="39" t="s">
        <v>251</v>
      </c>
      <c r="B252" s="19"/>
      <c r="C252" s="4"/>
      <c r="D252" s="4"/>
      <c r="E252" s="4"/>
      <c r="F252" s="4"/>
      <c r="G252" s="38"/>
      <c r="H252" s="4"/>
      <c r="I252" s="4"/>
      <c r="J252" s="4"/>
      <c r="K252" s="4"/>
      <c r="L252" s="5"/>
      <c r="M252" s="4"/>
      <c r="N252" s="65"/>
      <c r="O252" s="387"/>
    </row>
    <row r="253" ht="15" customHeight="1"/>
    <row r="254" ht="20.1" customHeight="1">
      <c r="B254" s="97"/>
      <c r="C254" s="98"/>
      <c r="D254" s="99"/>
      <c r="E254" s="100"/>
      <c r="F254" s="99"/>
      <c r="G254" s="101" t="s">
        <v>139</v>
      </c>
      <c r="H254" s="99"/>
      <c r="I254" s="100"/>
      <c r="J254" s="102"/>
      <c r="K254" s="103" t="s">
        <v>152</v>
      </c>
      <c r="L254" s="99"/>
      <c r="M254" s="104"/>
    </row>
    <row r="255" ht="15" customHeight="1">
      <c r="B255" s="83"/>
      <c r="C255" s="80" t="s">
        <v>140</v>
      </c>
      <c r="D255" s="71"/>
      <c r="E255" s="87"/>
      <c r="F255" s="80"/>
      <c r="G255" s="81" t="s">
        <v>141</v>
      </c>
      <c r="H255" s="80"/>
      <c r="I255" s="86"/>
      <c r="J255" s="28"/>
      <c r="K255" s="81" t="s">
        <v>153</v>
      </c>
      <c r="L255" s="80"/>
      <c r="M255" s="20"/>
    </row>
    <row r="256" ht="15" customHeight="1">
      <c r="B256" s="83"/>
      <c r="C256" s="80"/>
      <c r="D256" s="71"/>
      <c r="E256" s="86"/>
      <c r="F256" s="80"/>
      <c r="G256" s="81" t="s">
        <v>143</v>
      </c>
      <c r="H256" s="80"/>
      <c r="I256" s="86"/>
      <c r="J256" s="28"/>
      <c r="K256" s="80"/>
      <c r="L256" s="80"/>
      <c r="M256" s="20"/>
    </row>
    <row r="257" ht="15" customHeight="1">
      <c r="B257" s="90"/>
      <c r="C257" s="91" t="s">
        <v>145</v>
      </c>
      <c r="D257" s="92"/>
      <c r="E257" s="93"/>
      <c r="F257" s="49"/>
      <c r="G257" s="94" t="s">
        <v>146</v>
      </c>
      <c r="H257" s="49"/>
      <c r="I257" s="93"/>
      <c r="J257" s="95"/>
      <c r="K257" s="49"/>
      <c r="L257" s="49"/>
      <c r="M257" s="96"/>
    </row>
    <row r="258" ht="15" customHeight="1">
      <c r="B258" s="83"/>
      <c r="C258" s="80" t="s">
        <v>148</v>
      </c>
      <c r="D258" s="71"/>
      <c r="E258" s="88"/>
      <c r="F258" s="80"/>
      <c r="G258" s="81" t="s">
        <v>149</v>
      </c>
      <c r="H258" s="80"/>
      <c r="I258" s="86"/>
      <c r="J258" s="28"/>
      <c r="K258" s="81" t="s">
        <v>155</v>
      </c>
      <c r="L258" s="80"/>
      <c r="M258" s="20"/>
    </row>
    <row r="259" ht="15" customHeight="1">
      <c r="B259" s="83"/>
      <c r="C259" s="82" t="s">
        <v>145</v>
      </c>
      <c r="D259" s="71"/>
      <c r="E259" s="86"/>
      <c r="F259" s="80"/>
      <c r="G259" s="81" t="s">
        <v>146</v>
      </c>
      <c r="H259" s="80"/>
      <c r="I259" s="86"/>
      <c r="J259" s="28"/>
      <c r="K259" s="80"/>
      <c r="L259" s="80"/>
      <c r="M259" s="20"/>
    </row>
    <row r="260" ht="15" customHeight="1">
      <c r="B260" s="89"/>
      <c r="C260" s="35"/>
      <c r="D260" s="35"/>
      <c r="E260" s="37"/>
      <c r="F260" s="35"/>
      <c r="G260" s="84"/>
      <c r="H260" s="35"/>
      <c r="I260" s="37"/>
      <c r="J260" s="34"/>
      <c r="K260" s="35"/>
      <c r="L260" s="35"/>
      <c r="M260" s="85"/>
    </row>
    <row r="262" ht="15" customHeight="1">
      <c r="A262" s="11"/>
      <c r="B262" s="19" t="s">
        <v>252</v>
      </c>
      <c r="C262" s="4"/>
    </row>
    <row r="263" ht="15" customHeight="1">
      <c r="A263" s="11"/>
      <c r="B263" s="525" t="s">
        <v>197</v>
      </c>
      <c r="C263" s="523" t="s">
        <v>253</v>
      </c>
      <c r="D263" s="496" t="s">
        <v>254</v>
      </c>
      <c r="E263" s="496"/>
      <c r="F263" s="496"/>
      <c r="G263" s="524" t="s">
        <v>255</v>
      </c>
      <c r="H263" s="496" t="s">
        <v>256</v>
      </c>
      <c r="I263" s="496"/>
      <c r="J263" s="4"/>
      <c r="K263" s="4"/>
      <c r="L263" s="5"/>
      <c r="M263" s="4"/>
      <c r="N263" s="4"/>
      <c r="O263" s="296"/>
    </row>
    <row r="264" ht="15" customHeight="1">
      <c r="A264" s="4"/>
      <c r="B264" s="525"/>
      <c r="C264" s="523"/>
      <c r="D264" s="497" t="s">
        <v>257</v>
      </c>
      <c r="E264" s="497"/>
      <c r="F264" s="497"/>
      <c r="G264" s="523"/>
      <c r="H264" s="497" t="s">
        <v>258</v>
      </c>
      <c r="I264" s="497"/>
      <c r="J264" s="4"/>
      <c r="K264" s="4"/>
      <c r="L264" s="5"/>
      <c r="M264" s="4"/>
      <c r="N264" s="4"/>
      <c r="O264" s="296"/>
    </row>
    <row r="265" ht="15" customHeight="1">
      <c r="A265" s="4"/>
      <c r="B265" s="11"/>
      <c r="C265" s="4"/>
      <c r="D265" s="4"/>
      <c r="E265" s="4"/>
      <c r="F265" s="38"/>
      <c r="G265" s="4"/>
      <c r="H265" s="4"/>
      <c r="I265" s="4"/>
      <c r="J265" s="4"/>
      <c r="K265" s="4"/>
      <c r="L265" s="5"/>
      <c r="M265" s="4"/>
      <c r="N265" s="4"/>
      <c r="O265" s="296"/>
    </row>
    <row r="266" ht="15" customHeight="1" s="4" customFormat="1">
      <c r="B266" s="165" t="s">
        <v>197</v>
      </c>
      <c r="C266" s="4" t="s">
        <v>259</v>
      </c>
      <c r="F266" s="38"/>
      <c r="L266" s="166"/>
      <c r="O266" s="296"/>
      <c r="P266" s="366"/>
      <c r="Y266" s="166"/>
      <c r="AD266" s="166"/>
      <c r="AF266" s="166"/>
      <c r="AJ266" s="171"/>
      <c r="AM266" s="30"/>
    </row>
    <row r="267" ht="15" customHeight="1" s="4" customFormat="1">
      <c r="B267" s="165"/>
      <c r="F267" s="38"/>
      <c r="L267" s="166"/>
      <c r="O267" s="296"/>
      <c r="P267" s="366"/>
      <c r="Y267" s="166"/>
      <c r="AD267" s="166"/>
      <c r="AF267" s="166"/>
      <c r="AJ267" s="171"/>
      <c r="AM267" s="30"/>
    </row>
    <row r="268" ht="15" customHeight="1">
      <c r="A268" s="11"/>
      <c r="B268" s="111" t="s">
        <v>197</v>
      </c>
      <c r="C268" s="161" t="s">
        <v>260</v>
      </c>
      <c r="D268" s="4"/>
      <c r="E268" s="19"/>
      <c r="F268" s="4"/>
      <c r="G268" s="4"/>
      <c r="H268" s="4"/>
      <c r="I268" s="4"/>
      <c r="J268" s="105"/>
      <c r="K268" s="5"/>
      <c r="L268" s="4"/>
      <c r="M268" s="4"/>
      <c r="N268" s="68" t="s">
        <v>261</v>
      </c>
    </row>
    <row r="269" ht="20.1" customHeight="1">
      <c r="A269" s="4"/>
      <c r="B269" s="11"/>
      <c r="C269" s="46" t="s">
        <v>163</v>
      </c>
      <c r="D269" s="47"/>
      <c r="E269" s="47"/>
      <c r="F269" s="47"/>
      <c r="G269" s="47"/>
      <c r="H269" s="46" t="s">
        <v>262</v>
      </c>
      <c r="I269" s="47"/>
      <c r="J269" s="47"/>
      <c r="K269" s="107"/>
      <c r="L269" s="5"/>
      <c r="M269" s="4"/>
      <c r="N269" s="4"/>
    </row>
    <row r="270" ht="20.1" customHeight="1">
      <c r="A270" s="4"/>
      <c r="B270" s="11"/>
      <c r="C270" s="4" t="s">
        <v>263</v>
      </c>
      <c r="D270" s="4"/>
      <c r="E270" s="4"/>
      <c r="F270" s="4"/>
      <c r="G270" s="4"/>
      <c r="H270" s="54">
        <v>1</v>
      </c>
      <c r="I270" s="4"/>
      <c r="J270" s="4"/>
      <c r="K270" s="106"/>
      <c r="L270" s="5"/>
      <c r="M270" s="4"/>
      <c r="N270" s="4"/>
    </row>
    <row r="271" ht="20.1" customHeight="1">
      <c r="A271" s="4"/>
      <c r="B271" s="11"/>
      <c r="C271" s="22" t="s">
        <v>167</v>
      </c>
      <c r="D271" s="22"/>
      <c r="E271" s="22"/>
      <c r="F271" s="22"/>
      <c r="G271" s="22"/>
      <c r="H271" s="22" t="s">
        <v>264</v>
      </c>
      <c r="I271" s="22"/>
      <c r="J271" s="22"/>
      <c r="K271" s="108"/>
      <c r="L271" s="5"/>
      <c r="M271" s="4"/>
      <c r="N271" s="4"/>
    </row>
    <row r="272" ht="15" customHeight="1">
      <c r="A272" s="4"/>
      <c r="B272" s="4"/>
      <c r="C272" s="56" t="s">
        <v>265</v>
      </c>
      <c r="D272" s="109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ht="15" customHeight="1">
      <c r="A273" s="4"/>
      <c r="B273" s="4"/>
      <c r="C273" s="61" t="s">
        <v>266</v>
      </c>
      <c r="D273" s="109"/>
      <c r="E273" s="109"/>
      <c r="F273" s="4"/>
      <c r="G273" s="110"/>
      <c r="H273" s="110"/>
      <c r="I273" s="110"/>
      <c r="J273" s="4"/>
      <c r="K273" s="4"/>
      <c r="L273" s="5"/>
      <c r="M273" s="4"/>
      <c r="N273" s="106"/>
    </row>
    <row r="274" ht="15" customHeight="1">
      <c r="A274" s="4"/>
      <c r="B274" s="4"/>
      <c r="C274" s="56" t="s">
        <v>267</v>
      </c>
      <c r="D274" s="109"/>
      <c r="E274" s="4"/>
      <c r="F274" s="4"/>
      <c r="G274" s="4"/>
      <c r="H274" s="110"/>
      <c r="I274" s="110"/>
      <c r="J274" s="4"/>
      <c r="K274" s="4"/>
      <c r="L274" s="5"/>
      <c r="M274" s="4"/>
      <c r="N274" s="106"/>
    </row>
    <row r="275" ht="15" customHeight="1">
      <c r="A275" s="4"/>
      <c r="B275" s="4"/>
      <c r="C275" s="4" t="s">
        <v>268</v>
      </c>
      <c r="D275" s="109"/>
      <c r="E275" s="4"/>
      <c r="F275" s="4"/>
      <c r="G275" s="4"/>
      <c r="H275" s="110"/>
      <c r="I275" s="110"/>
      <c r="J275" s="4"/>
      <c r="K275" s="4"/>
      <c r="L275" s="5"/>
      <c r="M275" s="4"/>
      <c r="N275" s="4"/>
    </row>
    <row r="276" ht="15" customHeight="1">
      <c r="A276" s="4"/>
      <c r="B276" s="4"/>
      <c r="C276" s="4" t="s">
        <v>269</v>
      </c>
      <c r="D276" s="109"/>
      <c r="E276" s="4"/>
      <c r="F276" s="4"/>
      <c r="G276" s="4"/>
      <c r="H276" s="110"/>
      <c r="I276" s="110"/>
      <c r="J276" s="4"/>
      <c r="K276" s="4"/>
      <c r="L276" s="5"/>
      <c r="M276" s="4"/>
      <c r="N276" s="4"/>
    </row>
    <row r="277" ht="15" customHeight="1">
      <c r="A277" s="4"/>
      <c r="B277" s="4"/>
      <c r="C277" s="4"/>
      <c r="D277" s="109"/>
      <c r="E277" s="4"/>
      <c r="F277" s="4"/>
      <c r="G277" s="4"/>
      <c r="H277" s="110"/>
      <c r="I277" s="110"/>
      <c r="J277" s="4"/>
      <c r="K277" s="4"/>
      <c r="L277" s="5"/>
      <c r="M277" s="4"/>
      <c r="N277" s="4"/>
    </row>
    <row r="278" ht="15" customHeight="1">
      <c r="A278" s="11"/>
      <c r="B278" s="112" t="s">
        <v>270</v>
      </c>
      <c r="C278" s="57"/>
      <c r="D278" s="4"/>
      <c r="E278" s="4"/>
      <c r="F278" s="5"/>
      <c r="G278" s="4"/>
      <c r="H278" s="5"/>
      <c r="I278" s="4"/>
      <c r="J278" s="5"/>
      <c r="K278" s="4"/>
      <c r="L278" s="5"/>
      <c r="M278" s="4"/>
      <c r="N278" s="4"/>
    </row>
    <row r="279" ht="15" customHeight="1">
      <c r="A279" s="113"/>
      <c r="B279" s="112"/>
      <c r="C279" s="57"/>
      <c r="D279" s="4"/>
      <c r="E279" s="4"/>
      <c r="F279" s="5"/>
      <c r="G279" s="4"/>
      <c r="H279" s="5"/>
      <c r="I279" s="4"/>
      <c r="J279" s="5"/>
      <c r="K279" s="4"/>
      <c r="L279" s="5"/>
      <c r="M279" s="4"/>
      <c r="N279" s="4"/>
    </row>
    <row r="280" ht="20.1" customHeight="1">
      <c r="A280" s="11"/>
      <c r="B280" s="4"/>
      <c r="C280" s="46" t="s">
        <v>163</v>
      </c>
      <c r="D280" s="46"/>
      <c r="E280" s="46"/>
      <c r="F280" s="46"/>
      <c r="G280" s="46"/>
      <c r="H280" s="46" t="s">
        <v>271</v>
      </c>
      <c r="I280" s="46"/>
      <c r="J280" s="46"/>
      <c r="K280" s="46"/>
      <c r="L280" s="4"/>
      <c r="M280" s="4"/>
      <c r="N280" s="4"/>
    </row>
    <row r="281" ht="20.1" customHeight="1">
      <c r="A281" s="11"/>
      <c r="B281" s="4"/>
      <c r="C281" s="114" t="s">
        <v>272</v>
      </c>
      <c r="D281" s="114"/>
      <c r="E281" s="114"/>
      <c r="F281" s="114"/>
      <c r="G281" s="114"/>
      <c r="H281" s="114" t="s">
        <v>273</v>
      </c>
      <c r="I281" s="114"/>
      <c r="J281" s="114"/>
      <c r="K281" s="114"/>
      <c r="L281" s="4"/>
      <c r="M281" s="4"/>
      <c r="N281" s="68" t="s">
        <v>274</v>
      </c>
    </row>
    <row r="282" ht="20.1" customHeight="1">
      <c r="A282" s="11"/>
      <c r="B282" s="4"/>
      <c r="C282" s="117" t="s">
        <v>275</v>
      </c>
      <c r="D282" s="117"/>
      <c r="E282" s="117"/>
      <c r="F282" s="117"/>
      <c r="G282" s="117"/>
      <c r="H282" s="117" t="s">
        <v>276</v>
      </c>
      <c r="I282" s="122"/>
      <c r="J282" s="123"/>
      <c r="K282" s="117"/>
      <c r="L282" s="4"/>
      <c r="M282" s="4"/>
      <c r="N282" s="68" t="s">
        <v>277</v>
      </c>
    </row>
    <row r="283" ht="15" customHeight="1">
      <c r="A283" s="4"/>
      <c r="B283" s="4"/>
      <c r="C283" s="4"/>
      <c r="D283" s="4"/>
      <c r="E283" s="4"/>
      <c r="F283" s="5"/>
      <c r="G283" s="4"/>
      <c r="H283" s="5"/>
      <c r="I283" s="4"/>
      <c r="J283" s="5"/>
      <c r="K283" s="4"/>
      <c r="L283" s="5"/>
      <c r="M283" s="4"/>
      <c r="N283" s="4"/>
    </row>
    <row r="284" ht="15" customHeight="1">
      <c r="A284" s="4"/>
      <c r="B284" s="111" t="s">
        <v>197</v>
      </c>
      <c r="C284" s="4" t="s">
        <v>278</v>
      </c>
      <c r="D284" s="105"/>
      <c r="E284" s="19"/>
      <c r="F284" s="105"/>
      <c r="G284" s="105"/>
      <c r="H284" s="105"/>
      <c r="I284" s="4"/>
      <c r="J284" s="4"/>
      <c r="K284" s="5"/>
      <c r="L284" s="4"/>
      <c r="M284" s="5"/>
      <c r="N284" s="68" t="s">
        <v>279</v>
      </c>
    </row>
    <row r="285" ht="20.1" customHeight="1">
      <c r="A285" s="4"/>
      <c r="B285" s="4"/>
      <c r="C285" s="46" t="s">
        <v>163</v>
      </c>
      <c r="D285" s="47"/>
      <c r="E285" s="47"/>
      <c r="F285" s="47"/>
      <c r="G285" s="47"/>
      <c r="H285" s="46" t="s">
        <v>280</v>
      </c>
      <c r="I285" s="47"/>
      <c r="J285" s="47"/>
      <c r="K285" s="47"/>
      <c r="L285" s="4"/>
      <c r="M285" s="4"/>
      <c r="N285" s="4"/>
    </row>
    <row r="286" ht="20.1" customHeight="1">
      <c r="A286" s="4"/>
      <c r="B286" s="4"/>
      <c r="C286" s="125" t="s">
        <v>281</v>
      </c>
      <c r="D286" s="124"/>
      <c r="E286" s="114"/>
      <c r="F286" s="114"/>
      <c r="G286" s="114"/>
      <c r="H286" s="114" t="s">
        <v>282</v>
      </c>
      <c r="I286" s="114"/>
      <c r="J286" s="114"/>
      <c r="K286" s="114"/>
      <c r="L286" s="4"/>
      <c r="M286" s="4"/>
      <c r="N286" s="4"/>
    </row>
    <row r="287" ht="20.1" customHeight="1">
      <c r="A287" s="4"/>
      <c r="B287" s="4"/>
      <c r="C287" s="117" t="s">
        <v>167</v>
      </c>
      <c r="D287" s="117"/>
      <c r="E287" s="117"/>
      <c r="F287" s="117" t="s">
        <v>283</v>
      </c>
      <c r="G287" s="117"/>
      <c r="H287" s="128"/>
      <c r="I287" s="117"/>
      <c r="J287" s="123"/>
      <c r="K287" s="117"/>
      <c r="L287" s="4"/>
      <c r="M287" s="4"/>
      <c r="N287" s="4"/>
    </row>
    <row r="288" ht="15" customHeight="1">
      <c r="A288" s="4"/>
      <c r="B288" s="4"/>
      <c r="C288" s="61"/>
      <c r="D288" s="4" t="s">
        <v>284</v>
      </c>
      <c r="E288" s="4"/>
      <c r="F288" s="4"/>
      <c r="G288" s="4"/>
      <c r="H288" s="4"/>
      <c r="I288" s="4"/>
      <c r="J288" s="19"/>
      <c r="K288" s="4"/>
      <c r="L288" s="4"/>
      <c r="M288" s="4"/>
      <c r="N288" s="4"/>
    </row>
    <row r="289" ht="15" customHeight="1">
      <c r="A289" s="4"/>
      <c r="B289" s="4"/>
      <c r="C289" s="61"/>
      <c r="D289" s="4" t="s">
        <v>285</v>
      </c>
      <c r="E289" s="4"/>
      <c r="F289" s="4"/>
      <c r="G289" s="4"/>
      <c r="H289" s="4"/>
      <c r="I289" s="19"/>
      <c r="J289" s="4"/>
      <c r="K289" s="4"/>
      <c r="L289" s="4"/>
      <c r="M289" s="116"/>
      <c r="N289" s="4"/>
    </row>
    <row r="290" ht="15" customHeight="1">
      <c r="A290" s="4"/>
      <c r="B290" s="4"/>
      <c r="C290" s="61"/>
      <c r="D290" s="4" t="s">
        <v>286</v>
      </c>
      <c r="E290" s="4"/>
      <c r="F290" s="4"/>
      <c r="G290" s="4"/>
      <c r="H290" s="4"/>
      <c r="I290" s="4"/>
      <c r="J290" s="19"/>
      <c r="K290" s="4"/>
      <c r="L290" s="4"/>
      <c r="M290" s="4"/>
      <c r="N290" s="4"/>
    </row>
    <row r="291" ht="15" customHeight="1">
      <c r="A291" s="4"/>
      <c r="B291" s="4"/>
      <c r="C291" s="61"/>
      <c r="D291" s="4" t="s">
        <v>287</v>
      </c>
      <c r="E291" s="4"/>
      <c r="F291" s="4"/>
      <c r="G291" s="4"/>
      <c r="H291" s="4"/>
      <c r="I291" s="4"/>
      <c r="J291" s="19"/>
      <c r="K291" s="4"/>
      <c r="L291" s="4"/>
      <c r="M291" s="4"/>
      <c r="N291" s="4"/>
    </row>
    <row r="292" ht="15" customHeight="1">
      <c r="A292" s="4"/>
      <c r="B292" s="4"/>
      <c r="C292" s="61"/>
      <c r="D292" s="4" t="s">
        <v>288</v>
      </c>
      <c r="E292" s="61"/>
      <c r="F292" s="4"/>
      <c r="G292" s="4"/>
      <c r="H292" s="4"/>
      <c r="I292" s="4"/>
      <c r="J292" s="19"/>
      <c r="K292" s="4"/>
      <c r="L292" s="4"/>
      <c r="M292" s="4"/>
      <c r="N292" s="4"/>
    </row>
    <row r="293" ht="15" customHeight="1">
      <c r="A293" s="4"/>
      <c r="B293" s="4"/>
      <c r="C293" s="4"/>
      <c r="D293" s="4"/>
      <c r="E293" s="4"/>
      <c r="F293" s="5"/>
      <c r="G293" s="4"/>
      <c r="H293" s="5"/>
      <c r="I293" s="4"/>
      <c r="J293" s="5"/>
      <c r="K293" s="4"/>
      <c r="L293" s="5"/>
      <c r="M293" s="4"/>
      <c r="N293" s="4"/>
    </row>
    <row r="294" ht="15" customHeight="1">
      <c r="A294" s="4"/>
      <c r="B294" s="111" t="s">
        <v>197</v>
      </c>
      <c r="C294" s="4" t="s">
        <v>289</v>
      </c>
      <c r="D294" s="105"/>
      <c r="E294" s="19"/>
      <c r="F294" s="105"/>
      <c r="G294" s="105"/>
      <c r="H294" s="105"/>
      <c r="I294" s="4"/>
      <c r="J294" s="4"/>
      <c r="K294" s="5"/>
      <c r="L294" s="4"/>
      <c r="M294" s="5"/>
      <c r="N294" s="68" t="s">
        <v>178</v>
      </c>
    </row>
    <row r="295" ht="20.1" customHeight="1">
      <c r="A295" s="4"/>
      <c r="B295" s="4"/>
      <c r="C295" s="46" t="s">
        <v>163</v>
      </c>
      <c r="D295" s="47"/>
      <c r="E295" s="47"/>
      <c r="F295" s="47"/>
      <c r="G295" s="47"/>
      <c r="H295" s="46" t="s">
        <v>290</v>
      </c>
      <c r="I295" s="47"/>
      <c r="J295" s="47"/>
      <c r="K295" s="47"/>
      <c r="L295" s="4"/>
      <c r="M295" s="4"/>
      <c r="N295" s="4"/>
    </row>
    <row r="296" ht="20.1" customHeight="1">
      <c r="A296" s="4"/>
      <c r="B296" s="4"/>
      <c r="C296" s="114" t="s">
        <v>291</v>
      </c>
      <c r="D296" s="114"/>
      <c r="E296" s="114"/>
      <c r="F296" s="114"/>
      <c r="G296" s="114"/>
      <c r="H296" s="114" t="s">
        <v>282</v>
      </c>
      <c r="I296" s="114"/>
      <c r="J296" s="114"/>
      <c r="K296" s="114"/>
      <c r="L296" s="4"/>
      <c r="M296" s="4"/>
      <c r="N296" s="4"/>
    </row>
    <row r="297" ht="20.1" customHeight="1">
      <c r="A297" s="4"/>
      <c r="B297" s="4"/>
      <c r="C297" s="115" t="s">
        <v>292</v>
      </c>
      <c r="D297" s="115"/>
      <c r="E297" s="115"/>
      <c r="F297" s="115" t="s">
        <v>293</v>
      </c>
      <c r="G297" s="115"/>
      <c r="H297" s="115"/>
      <c r="I297" s="115"/>
      <c r="J297" s="115"/>
      <c r="K297" s="115"/>
      <c r="L297" s="4"/>
      <c r="M297" s="4"/>
      <c r="N297" s="4"/>
    </row>
    <row r="298" ht="20.1" customHeight="1">
      <c r="A298" s="4"/>
      <c r="B298" s="4"/>
      <c r="C298" s="22" t="s">
        <v>294</v>
      </c>
      <c r="D298" s="22"/>
      <c r="E298" s="22"/>
      <c r="F298" s="22"/>
      <c r="G298" s="22"/>
      <c r="H298" s="22" t="s">
        <v>295</v>
      </c>
      <c r="I298" s="22"/>
      <c r="J298" s="22"/>
      <c r="K298" s="22"/>
      <c r="L298" s="4"/>
      <c r="M298" s="4"/>
      <c r="N298" s="4"/>
    </row>
    <row r="299" ht="15" customHeight="1">
      <c r="A299" s="4"/>
      <c r="B299" s="4"/>
      <c r="C299" s="4"/>
      <c r="D299" s="4" t="s">
        <v>296</v>
      </c>
      <c r="E299" s="4"/>
      <c r="F299" s="4"/>
      <c r="G299" s="5"/>
      <c r="H299" s="4"/>
      <c r="J299" s="4"/>
      <c r="K299" s="5"/>
      <c r="L299" s="4"/>
      <c r="M299" s="5"/>
      <c r="N299" s="4"/>
    </row>
    <row r="300" ht="15" customHeight="1">
      <c r="A300" s="4"/>
      <c r="B300" s="4"/>
      <c r="C300" s="4"/>
      <c r="D300" s="4" t="s">
        <v>297</v>
      </c>
      <c r="E300" s="4"/>
      <c r="F300" s="4"/>
      <c r="G300" s="5"/>
      <c r="H300" s="492" t="s">
        <v>298</v>
      </c>
      <c r="I300" s="126" t="s">
        <v>299</v>
      </c>
      <c r="J300" s="126"/>
      <c r="K300" s="5"/>
      <c r="L300" s="4"/>
      <c r="M300" s="5"/>
      <c r="N300" s="4"/>
    </row>
    <row r="301" ht="15" customHeight="1">
      <c r="A301" s="4"/>
      <c r="B301" s="4"/>
      <c r="C301" s="4"/>
      <c r="D301" s="4" t="s">
        <v>300</v>
      </c>
      <c r="E301" s="4"/>
      <c r="F301" s="4"/>
      <c r="G301" s="5"/>
      <c r="H301" s="492"/>
      <c r="I301" s="127" t="s">
        <v>301</v>
      </c>
      <c r="J301" s="127"/>
      <c r="K301" s="5"/>
      <c r="L301" s="4"/>
      <c r="M301" s="5"/>
      <c r="N301" s="4"/>
    </row>
    <row r="302" ht="15" customHeight="1">
      <c r="A302" s="4"/>
      <c r="B302" s="4"/>
      <c r="C302" s="4"/>
      <c r="D302" s="4"/>
      <c r="E302" s="4"/>
      <c r="F302" s="4"/>
      <c r="G302" s="5"/>
      <c r="H302" s="4"/>
      <c r="I302" s="5"/>
      <c r="J302" s="4"/>
      <c r="K302" s="5"/>
      <c r="L302" s="4"/>
      <c r="M302" s="5"/>
      <c r="N302" s="4"/>
    </row>
    <row r="303" ht="15" customHeight="1">
      <c r="A303" s="4"/>
      <c r="B303" s="111" t="s">
        <v>197</v>
      </c>
      <c r="C303" s="4" t="s">
        <v>302</v>
      </c>
      <c r="D303" s="105"/>
      <c r="E303" s="19"/>
      <c r="F303" s="105"/>
      <c r="G303" s="105"/>
      <c r="H303" s="105"/>
      <c r="I303" s="4"/>
      <c r="J303" s="4"/>
      <c r="K303" s="5"/>
      <c r="L303" s="4"/>
      <c r="M303" s="5"/>
      <c r="N303" s="68" t="s">
        <v>303</v>
      </c>
    </row>
    <row r="304" ht="20.1" customHeight="1">
      <c r="A304" s="4"/>
      <c r="B304" s="4"/>
      <c r="C304" s="46" t="s">
        <v>163</v>
      </c>
      <c r="D304" s="47"/>
      <c r="E304" s="47"/>
      <c r="F304" s="47"/>
      <c r="G304" s="47"/>
      <c r="H304" s="46" t="s">
        <v>304</v>
      </c>
      <c r="I304" s="47"/>
      <c r="J304" s="47"/>
      <c r="K304" s="47"/>
      <c r="L304" s="4"/>
      <c r="M304" s="4"/>
      <c r="N304" s="4"/>
    </row>
    <row r="305" ht="20.1" customHeight="1">
      <c r="A305" s="4"/>
      <c r="B305" s="4"/>
      <c r="C305" s="114" t="s">
        <v>305</v>
      </c>
      <c r="D305" s="114"/>
      <c r="E305" s="114"/>
      <c r="F305" s="114"/>
      <c r="G305" s="114"/>
      <c r="H305" s="114" t="s">
        <v>306</v>
      </c>
      <c r="I305" s="114"/>
      <c r="J305" s="114"/>
      <c r="K305" s="114"/>
      <c r="L305" s="4"/>
      <c r="M305" s="4"/>
      <c r="N305" s="4"/>
    </row>
    <row r="306" ht="20.1" customHeight="1">
      <c r="A306" s="4"/>
      <c r="B306" s="4"/>
      <c r="C306" s="115" t="s">
        <v>307</v>
      </c>
      <c r="D306" s="115"/>
      <c r="E306" s="115"/>
      <c r="F306" s="4"/>
      <c r="G306" s="115" t="s">
        <v>308</v>
      </c>
      <c r="I306" s="4"/>
      <c r="J306" s="4"/>
      <c r="K306" s="4"/>
      <c r="L306" s="4"/>
      <c r="M306" s="4"/>
      <c r="N306" s="4"/>
    </row>
    <row r="307" ht="20.1" customHeight="1">
      <c r="A307" s="4"/>
      <c r="B307" s="4"/>
      <c r="C307" s="117" t="s">
        <v>309</v>
      </c>
      <c r="D307" s="117"/>
      <c r="E307" s="117"/>
      <c r="F307" s="117"/>
      <c r="G307" s="117"/>
      <c r="H307" s="117" t="s">
        <v>310</v>
      </c>
      <c r="I307" s="117"/>
      <c r="J307" s="117"/>
      <c r="K307" s="117"/>
      <c r="L307" s="4"/>
      <c r="M307" s="4"/>
      <c r="N307" s="4"/>
    </row>
    <row r="308" ht="15" customHeight="1">
      <c r="A308" s="4"/>
      <c r="B308" s="4"/>
      <c r="C308" s="4"/>
      <c r="D308" s="4"/>
      <c r="E308" s="4"/>
      <c r="F308" s="5"/>
      <c r="G308" s="4"/>
      <c r="H308" s="5"/>
      <c r="I308" s="4"/>
      <c r="J308" s="4"/>
      <c r="K308" s="4"/>
      <c r="L308" s="5"/>
      <c r="M308" s="4"/>
      <c r="N308" s="4"/>
    </row>
    <row r="309" ht="15" customHeight="1">
      <c r="A309" s="4"/>
      <c r="B309" s="4"/>
      <c r="C309" s="172" t="s">
        <v>311</v>
      </c>
      <c r="D309" s="4"/>
      <c r="E309" s="4" t="s">
        <v>312</v>
      </c>
      <c r="F309" s="5"/>
      <c r="G309" s="4"/>
      <c r="H309" s="5"/>
      <c r="I309" s="4"/>
      <c r="J309" s="5"/>
      <c r="K309" s="4"/>
      <c r="L309" s="5"/>
      <c r="M309" s="4"/>
      <c r="N309" s="4"/>
    </row>
    <row r="310" ht="15" customHeight="1">
      <c r="A310" s="4"/>
      <c r="B310" s="4"/>
      <c r="C310" s="172" t="s">
        <v>313</v>
      </c>
      <c r="D310" s="4"/>
      <c r="E310" s="4" t="s">
        <v>314</v>
      </c>
      <c r="F310" s="5"/>
      <c r="G310" s="4"/>
      <c r="H310" s="5"/>
      <c r="I310" s="4"/>
      <c r="J310" s="5"/>
      <c r="K310" s="4"/>
      <c r="L310" s="5"/>
      <c r="M310" s="4"/>
      <c r="N310" s="4"/>
    </row>
    <row r="311" ht="15" customHeight="1">
      <c r="A311" s="4"/>
      <c r="B311" s="4"/>
      <c r="C311" s="162" t="s">
        <v>315</v>
      </c>
      <c r="D311" s="4"/>
      <c r="E311" s="4"/>
      <c r="F311" s="5"/>
      <c r="G311" s="4"/>
      <c r="H311" s="130" t="s">
        <v>316</v>
      </c>
      <c r="I311" s="4"/>
      <c r="J311" s="5"/>
      <c r="K311" s="4"/>
      <c r="L311" s="5"/>
      <c r="M311" s="4"/>
      <c r="N311" s="4"/>
    </row>
    <row r="312" ht="15" customHeight="1">
      <c r="A312" s="11"/>
      <c r="B312" s="4"/>
      <c r="C312" s="130" t="s">
        <v>317</v>
      </c>
      <c r="D312" s="4"/>
      <c r="E312" s="4"/>
      <c r="F312" s="5"/>
      <c r="G312" s="4"/>
      <c r="H312" s="61" t="s">
        <v>318</v>
      </c>
      <c r="I312" s="4"/>
      <c r="J312" s="5"/>
      <c r="K312" s="4"/>
      <c r="L312" s="5"/>
      <c r="M312" s="4"/>
      <c r="N312" s="4"/>
    </row>
    <row r="313" ht="15" customHeight="1">
      <c r="A313" s="11"/>
      <c r="B313" s="4"/>
      <c r="C313" s="4" t="s">
        <v>319</v>
      </c>
      <c r="D313" s="30" t="s">
        <v>173</v>
      </c>
      <c r="E313" s="4" t="s">
        <v>320</v>
      </c>
      <c r="F313" s="4"/>
      <c r="G313" s="4"/>
      <c r="H313" s="5"/>
      <c r="I313" s="4"/>
      <c r="J313" s="5"/>
      <c r="K313" s="4"/>
      <c r="L313" s="5"/>
      <c r="M313" s="4"/>
      <c r="N313" s="4"/>
    </row>
    <row r="314" ht="15" customHeight="1">
      <c r="A314" s="11"/>
      <c r="B314" s="4"/>
      <c r="C314" s="4" t="s">
        <v>321</v>
      </c>
      <c r="D314" s="30" t="s">
        <v>173</v>
      </c>
      <c r="E314" s="4" t="s">
        <v>322</v>
      </c>
      <c r="F314" s="4"/>
      <c r="G314" s="4"/>
      <c r="H314" s="5"/>
      <c r="I314" s="4"/>
      <c r="J314" s="5"/>
      <c r="K314" s="4"/>
      <c r="L314" s="5"/>
      <c r="M314" s="4"/>
      <c r="N314" s="4"/>
    </row>
    <row r="315" ht="15" customHeight="1">
      <c r="A315" s="11"/>
      <c r="B315" s="4"/>
      <c r="C315" s="4" t="s">
        <v>32</v>
      </c>
      <c r="D315" s="30" t="s">
        <v>173</v>
      </c>
      <c r="E315" s="4" t="s">
        <v>323</v>
      </c>
      <c r="F315" s="4"/>
      <c r="G315" s="4"/>
      <c r="H315" s="5"/>
      <c r="I315" s="4"/>
      <c r="J315" s="5"/>
      <c r="K315" s="4"/>
      <c r="L315" s="5"/>
      <c r="M315" s="4"/>
      <c r="N315" s="4"/>
    </row>
    <row r="316" ht="15" customHeight="1">
      <c r="A316" s="11"/>
      <c r="B316" s="4"/>
      <c r="C316" s="4"/>
      <c r="E316" s="4" t="s">
        <v>324</v>
      </c>
      <c r="F316" s="4"/>
      <c r="G316" s="4"/>
      <c r="H316" s="5"/>
      <c r="I316" s="4"/>
      <c r="J316" s="5"/>
      <c r="K316" s="4"/>
      <c r="L316" s="5"/>
      <c r="M316" s="4"/>
      <c r="N316" s="4"/>
    </row>
    <row r="317" ht="15" customHeight="1">
      <c r="A317" s="11"/>
      <c r="B317" s="4"/>
      <c r="C317" s="4"/>
      <c r="D317" s="4"/>
      <c r="E317" s="4"/>
      <c r="F317" s="4"/>
      <c r="G317" s="4"/>
      <c r="H317" s="5"/>
      <c r="I317" s="4"/>
      <c r="J317" s="5"/>
      <c r="K317" s="4"/>
      <c r="L317" s="5"/>
      <c r="M317" s="4"/>
      <c r="N317" s="4"/>
    </row>
    <row r="318" ht="15" customHeight="1">
      <c r="A318" s="11"/>
      <c r="B318" s="111" t="s">
        <v>197</v>
      </c>
      <c r="C318" s="4" t="s">
        <v>325</v>
      </c>
      <c r="D318" s="105"/>
      <c r="E318" s="19"/>
      <c r="F318" s="105"/>
      <c r="G318" s="105"/>
      <c r="H318" s="105"/>
      <c r="I318" s="4"/>
      <c r="J318" s="4"/>
      <c r="K318" s="4"/>
      <c r="L318" s="4"/>
      <c r="M318" s="5"/>
      <c r="N318" s="68" t="s">
        <v>303</v>
      </c>
    </row>
    <row r="319" ht="20.1" customHeight="1">
      <c r="A319" s="4"/>
      <c r="B319" s="4"/>
      <c r="C319" s="46" t="s">
        <v>163</v>
      </c>
      <c r="D319" s="47"/>
      <c r="E319" s="46"/>
      <c r="F319" s="46"/>
      <c r="G319" s="47"/>
      <c r="H319" s="46" t="s">
        <v>326</v>
      </c>
      <c r="I319" s="47"/>
      <c r="J319" s="47"/>
      <c r="K319" s="47"/>
      <c r="L319" s="4"/>
      <c r="M319" s="4"/>
      <c r="N319" s="4"/>
      <c r="O319" s="296"/>
    </row>
    <row r="320" ht="20.1" customHeight="1">
      <c r="A320" s="4"/>
      <c r="B320" s="11"/>
      <c r="C320" s="48" t="s">
        <v>327</v>
      </c>
      <c r="D320" s="48"/>
      <c r="E320" s="48"/>
      <c r="F320" s="48"/>
      <c r="G320" s="48"/>
      <c r="H320" s="48" t="s">
        <v>328</v>
      </c>
      <c r="I320" s="48"/>
      <c r="J320" s="48"/>
      <c r="K320" s="48"/>
      <c r="L320" s="4"/>
      <c r="M320" s="4"/>
      <c r="N320" s="4"/>
      <c r="O320" s="296"/>
    </row>
    <row r="321" ht="20.1" customHeight="1">
      <c r="A321" s="4"/>
      <c r="B321" s="4"/>
      <c r="C321" s="164" t="s">
        <v>329</v>
      </c>
      <c r="D321" s="118"/>
      <c r="E321" s="119"/>
      <c r="F321" s="118"/>
      <c r="G321" s="118"/>
      <c r="H321" s="118" t="s">
        <v>330</v>
      </c>
      <c r="I321" s="118"/>
      <c r="J321" s="118"/>
      <c r="K321" s="118"/>
      <c r="L321" s="4"/>
      <c r="M321" s="4"/>
      <c r="N321" s="4"/>
      <c r="O321" s="296"/>
    </row>
    <row r="322" ht="20.1" customHeight="1">
      <c r="A322" s="4"/>
      <c r="B322" s="4"/>
      <c r="C322" s="163" t="s">
        <v>331</v>
      </c>
      <c r="D322" s="22"/>
      <c r="E322" s="22"/>
      <c r="F322" s="22"/>
      <c r="G322" s="22"/>
      <c r="H322" s="22" t="s">
        <v>332</v>
      </c>
      <c r="I322" s="22"/>
      <c r="J322" s="22"/>
      <c r="K322" s="22"/>
      <c r="L322" s="4"/>
      <c r="M322" s="4"/>
      <c r="N322" s="4"/>
      <c r="O322" s="296"/>
    </row>
    <row r="323" ht="1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296"/>
    </row>
    <row r="324" ht="15" customHeight="1">
      <c r="A324" s="4"/>
      <c r="B324" s="111" t="s">
        <v>197</v>
      </c>
      <c r="C324" s="22" t="s">
        <v>333</v>
      </c>
      <c r="D324" s="22"/>
      <c r="E324" s="22"/>
      <c r="F324" s="22"/>
      <c r="G324" s="22"/>
      <c r="H324" s="22"/>
      <c r="I324" s="22"/>
      <c r="J324" s="22"/>
      <c r="K324" s="22"/>
      <c r="L324" s="22"/>
      <c r="M324" s="63"/>
      <c r="N324" s="22"/>
      <c r="O324" s="296"/>
    </row>
    <row r="325" ht="15" customHeight="1">
      <c r="A325" s="4"/>
      <c r="B325" s="4"/>
      <c r="C325" s="46" t="s">
        <v>163</v>
      </c>
      <c r="D325" s="46"/>
      <c r="E325" s="47"/>
      <c r="F325" s="47"/>
      <c r="G325" s="46" t="s">
        <v>334</v>
      </c>
      <c r="H325" s="47"/>
      <c r="I325" s="47"/>
      <c r="J325" s="47"/>
      <c r="K325" s="46" t="s">
        <v>335</v>
      </c>
      <c r="L325" s="47"/>
      <c r="M325" s="47"/>
      <c r="N325" s="47"/>
      <c r="O325" s="308"/>
    </row>
    <row r="326" ht="15" customHeight="1">
      <c r="A326" s="4"/>
      <c r="B326" s="4"/>
      <c r="C326" s="114" t="s">
        <v>336</v>
      </c>
      <c r="D326" s="114"/>
      <c r="E326" s="114"/>
      <c r="F326" s="114"/>
      <c r="G326" s="120">
        <v>4</v>
      </c>
      <c r="H326" s="114"/>
      <c r="I326" s="114"/>
      <c r="J326" s="114"/>
      <c r="K326" s="121">
        <v>5.34</v>
      </c>
      <c r="L326" s="114"/>
      <c r="M326" s="114"/>
      <c r="N326" s="114"/>
      <c r="O326" s="308"/>
    </row>
    <row r="327" ht="15" customHeight="1">
      <c r="A327" s="4"/>
      <c r="B327" s="4"/>
      <c r="C327" s="4"/>
      <c r="D327" s="4"/>
      <c r="E327" s="4" t="s">
        <v>337</v>
      </c>
      <c r="F327" s="4"/>
      <c r="G327" s="4" t="s">
        <v>338</v>
      </c>
      <c r="H327" s="4"/>
      <c r="I327" s="4"/>
      <c r="J327" s="4"/>
      <c r="K327" s="4"/>
      <c r="L327" s="4"/>
      <c r="M327" s="4"/>
      <c r="N327" s="4"/>
      <c r="O327" s="308"/>
    </row>
    <row r="328" ht="15" customHeight="1">
      <c r="A328" s="4"/>
      <c r="B328" s="4"/>
      <c r="C328" s="4" t="s">
        <v>339</v>
      </c>
      <c r="D328" s="4"/>
      <c r="E328" s="4"/>
      <c r="F328" s="4"/>
      <c r="G328" s="4"/>
      <c r="H328" s="4"/>
      <c r="I328" s="4"/>
      <c r="J328" s="4"/>
      <c r="K328" s="22" t="s">
        <v>340</v>
      </c>
      <c r="L328" s="22"/>
      <c r="M328" s="22"/>
      <c r="N328" s="519" t="s">
        <v>341</v>
      </c>
      <c r="O328" s="308"/>
    </row>
    <row r="329" ht="15" customHeight="1">
      <c r="A329" s="4"/>
      <c r="B329" s="11"/>
      <c r="C329" s="4"/>
      <c r="D329" s="4"/>
      <c r="E329" s="4" t="s">
        <v>342</v>
      </c>
      <c r="F329" s="4"/>
      <c r="G329" s="4" t="s">
        <v>343</v>
      </c>
      <c r="H329" s="4"/>
      <c r="I329" s="4"/>
      <c r="J329" s="4"/>
      <c r="K329" s="127" t="s">
        <v>344</v>
      </c>
      <c r="L329" s="127"/>
      <c r="M329" s="127"/>
      <c r="N329" s="520"/>
      <c r="O329" s="308"/>
    </row>
    <row r="330" ht="15" customHeight="1">
      <c r="A330" s="4"/>
      <c r="B330" s="4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308"/>
    </row>
    <row r="331" ht="15" customHeight="1">
      <c r="A331" s="4"/>
      <c r="B331" s="4"/>
      <c r="C331" s="4" t="s">
        <v>345</v>
      </c>
      <c r="D331" s="30" t="s">
        <v>173</v>
      </c>
      <c r="E331" s="4" t="s">
        <v>346</v>
      </c>
      <c r="F331" s="4"/>
      <c r="G331" s="38"/>
      <c r="H331" s="4"/>
      <c r="I331" s="4"/>
      <c r="J331" s="4"/>
      <c r="K331" s="4"/>
      <c r="L331" s="5"/>
      <c r="M331" s="4"/>
      <c r="N331" s="4"/>
      <c r="O331" s="296"/>
    </row>
    <row r="332" ht="15" customHeight="1">
      <c r="A332" s="4"/>
      <c r="B332" s="4"/>
      <c r="C332" s="61" t="s">
        <v>347</v>
      </c>
      <c r="D332" s="30" t="s">
        <v>173</v>
      </c>
      <c r="E332" s="61" t="s">
        <v>348</v>
      </c>
      <c r="F332" s="4"/>
      <c r="G332" s="38"/>
      <c r="H332" s="4"/>
      <c r="I332" s="4"/>
      <c r="J332" s="4"/>
      <c r="K332" s="4"/>
      <c r="L332" s="5"/>
      <c r="M332" s="4"/>
      <c r="N332" s="4"/>
      <c r="O332" s="296"/>
    </row>
    <row r="333" ht="15" customHeight="1">
      <c r="A333" s="4"/>
      <c r="B333" s="61"/>
      <c r="C333" s="4"/>
      <c r="D333" s="4"/>
      <c r="E333" s="4"/>
      <c r="F333" s="4"/>
      <c r="G333" s="38"/>
      <c r="H333" s="4"/>
      <c r="I333" s="4"/>
      <c r="J333" s="4"/>
      <c r="K333" s="4"/>
      <c r="L333" s="5"/>
      <c r="M333" s="4"/>
      <c r="N333" s="4"/>
      <c r="O333" s="296"/>
    </row>
    <row r="334" ht="15" customHeight="1">
      <c r="A334" s="59" t="s">
        <v>349</v>
      </c>
      <c r="B334" s="4"/>
      <c r="C334" s="4"/>
      <c r="D334" s="4"/>
      <c r="E334" s="4"/>
      <c r="F334" s="4"/>
      <c r="G334" s="110"/>
      <c r="H334" s="110"/>
      <c r="I334" s="110"/>
      <c r="J334" s="4"/>
      <c r="K334" s="4"/>
      <c r="L334" s="5"/>
      <c r="M334" s="4"/>
      <c r="N334" s="4"/>
      <c r="O334" s="307"/>
    </row>
    <row r="335" ht="15" customHeight="1">
      <c r="A335" s="135" t="s">
        <v>230</v>
      </c>
      <c r="B335" s="494" t="s">
        <v>350</v>
      </c>
      <c r="C335" s="498"/>
      <c r="D335" s="498"/>
      <c r="E335" s="498"/>
      <c r="F335" s="495"/>
      <c r="G335" s="494" t="s">
        <v>351</v>
      </c>
      <c r="H335" s="498"/>
      <c r="I335" s="498"/>
      <c r="J335" s="495"/>
      <c r="K335" s="515" t="s">
        <v>352</v>
      </c>
      <c r="L335" s="78" t="s">
        <v>353</v>
      </c>
      <c r="M335" s="78" t="s">
        <v>354</v>
      </c>
      <c r="N335" s="74" t="s">
        <v>355</v>
      </c>
    </row>
    <row r="336" ht="15" customHeight="1">
      <c r="A336" s="136"/>
      <c r="B336" s="137" t="s">
        <v>57</v>
      </c>
      <c r="C336" s="137" t="s">
        <v>58</v>
      </c>
      <c r="D336" s="137" t="s">
        <v>356</v>
      </c>
      <c r="E336" s="137" t="s">
        <v>357</v>
      </c>
      <c r="F336" s="137" t="s">
        <v>358</v>
      </c>
      <c r="G336" s="79" t="s">
        <v>359</v>
      </c>
      <c r="H336" s="79" t="s">
        <v>360</v>
      </c>
      <c r="I336" s="79" t="s">
        <v>361</v>
      </c>
      <c r="J336" s="79" t="s">
        <v>362</v>
      </c>
      <c r="K336" s="516"/>
      <c r="L336" s="79"/>
      <c r="M336" s="79"/>
      <c r="N336" s="77"/>
    </row>
    <row r="337" ht="15" customHeight="1">
      <c r="A337" s="187">
        <f>A174</f>
        <v>101</v>
      </c>
      <c r="B337" s="188">
        <f>INPUT!AT3</f>
        <v>1472.3749846085932</v>
      </c>
      <c r="C337" s="188">
        <f>INPUT!AU3</f>
        <v>1361.6250153914068</v>
      </c>
      <c r="D337" s="188">
        <f>INPUT!J3</f>
        <v>22</v>
      </c>
      <c r="E337" s="188">
        <f>INPUT!L3</f>
        <v>12</v>
      </c>
      <c r="F337" s="189">
        <f>MAX(B337-D337,C337-E337)</f>
        <v>1450.3749846085932</v>
      </c>
      <c r="G337" s="190">
        <f>INPUT!H3</f>
        <v>2</v>
      </c>
      <c r="H337" s="190">
        <f>INPUT!I3</f>
        <v>500</v>
      </c>
      <c r="I337" s="190">
        <f>INPUT!K3</f>
        <v>1936.3312351792665</v>
      </c>
      <c r="J337" s="174">
        <f>IF(B337-D337&gt;=C337-E337,G337*H337*D337,I337*E337)</f>
        <v>22000</v>
      </c>
      <c r="K337" s="192">
        <f>MIN(INPUT!AQ3/MAX(ABS(B174),ABS(C174),INPUT!AO3),1)</f>
        <v>0.93421052631578949</v>
      </c>
      <c r="L337" s="193">
        <f>INPUT!O3</f>
        <v>12</v>
      </c>
      <c r="M337" s="192">
        <f>2*F337*L337/J337</f>
        <v>1.5822272559366473</v>
      </c>
      <c r="N337" s="194">
        <f>IF(INPUT!AQ3&gt;=INPUT!AO3,1,(12+M337*(3*K337-K337^3))/(12+2*M337))</f>
        <v>0.99867490759818722</v>
      </c>
    </row>
    <row r="338">
      <c r="A338" s="187">
        <f>A175</f>
        <v>101</v>
      </c>
      <c r="B338" s="188">
        <f>INPUT!AT4</f>
        <v>1472.3749846085932</v>
      </c>
      <c r="C338" s="188">
        <f>INPUT!AU4</f>
        <v>1361.6250153914068</v>
      </c>
      <c r="D338" s="188">
        <f>INPUT!J4</f>
        <v>22</v>
      </c>
      <c r="E338" s="188">
        <f>INPUT!L4</f>
        <v>12</v>
      </c>
      <c r="F338" s="189">
        <f>MAX(B338-D338,C338-E338)</f>
        <v>1450.3749846085932</v>
      </c>
      <c r="G338" s="190">
        <f>INPUT!H4</f>
        <v>2</v>
      </c>
      <c r="H338" s="190">
        <f>INPUT!I4</f>
        <v>500</v>
      </c>
      <c r="I338" s="190">
        <f>INPUT!K4</f>
        <v>1936.3312351792665</v>
      </c>
      <c r="J338" s="174">
        <f>IF(B338-D338&gt;=C338-E338,G338*H338*D338,I338*E338)</f>
        <v>22000</v>
      </c>
      <c r="K338" s="192">
        <f>MIN(INPUT!AQ4/MAX(ABS(B175),ABS(C175),INPUT!AO4),1)</f>
        <v>0.93421052631578949</v>
      </c>
      <c r="L338" s="193">
        <f>INPUT!O4</f>
        <v>12</v>
      </c>
      <c r="M338" s="192">
        <f>2*F338*L338/J338</f>
        <v>1.5822272559366473</v>
      </c>
      <c r="N338" s="194">
        <f>IF(INPUT!AQ4&gt;=INPUT!AO4,1,(12+M338*(3*K338-K338^3))/(12+2*M338))</f>
        <v>0.99867490759818722</v>
      </c>
    </row>
    <row r="339">
      <c r="A339" s="187">
        <f>A176</f>
        <v>101</v>
      </c>
      <c r="B339" s="188">
        <f>INPUT!AT5</f>
        <v>1472.3749846085932</v>
      </c>
      <c r="C339" s="188">
        <f>INPUT!AU5</f>
        <v>1361.6250153914068</v>
      </c>
      <c r="D339" s="188">
        <f>INPUT!J5</f>
        <v>22</v>
      </c>
      <c r="E339" s="188">
        <f>INPUT!L5</f>
        <v>12</v>
      </c>
      <c r="F339" s="189">
        <f>MAX(B339-D339,C339-E339)</f>
        <v>1450.3749846085932</v>
      </c>
      <c r="G339" s="190">
        <f>INPUT!H5</f>
        <v>2</v>
      </c>
      <c r="H339" s="190">
        <f>INPUT!I5</f>
        <v>500</v>
      </c>
      <c r="I339" s="190">
        <f>INPUT!K5</f>
        <v>1936.3312351792665</v>
      </c>
      <c r="J339" s="174">
        <f>IF(B339-D339&gt;=C339-E339,G339*H339*D339,I339*E339)</f>
        <v>22000</v>
      </c>
      <c r="K339" s="192">
        <f>MIN(INPUT!AQ5/MAX(ABS(B176),ABS(C176),INPUT!AO5),1)</f>
        <v>0.93421052631578949</v>
      </c>
      <c r="L339" s="193">
        <f>INPUT!O5</f>
        <v>12</v>
      </c>
      <c r="M339" s="192">
        <f>2*F339*L339/J339</f>
        <v>1.5822272559366473</v>
      </c>
      <c r="N339" s="194">
        <f>IF(INPUT!AQ5&gt;=INPUT!AO5,1,(12+M339*(3*K339-K339^3))/(12+2*M339))</f>
        <v>0.99867490759818722</v>
      </c>
    </row>
    <row r="340">
      <c r="A340" s="187">
        <f>A177</f>
        <v>101</v>
      </c>
      <c r="B340" s="188">
        <f>INPUT!AT6</f>
        <v>1472.3749846085932</v>
      </c>
      <c r="C340" s="188">
        <f>INPUT!AU6</f>
        <v>1361.6250153914068</v>
      </c>
      <c r="D340" s="188">
        <f>INPUT!J6</f>
        <v>22</v>
      </c>
      <c r="E340" s="188">
        <f>INPUT!L6</f>
        <v>12</v>
      </c>
      <c r="F340" s="189">
        <f>MAX(B340-D340,C340-E340)</f>
        <v>1450.3749846085932</v>
      </c>
      <c r="G340" s="190">
        <f>INPUT!H6</f>
        <v>2</v>
      </c>
      <c r="H340" s="190">
        <f>INPUT!I6</f>
        <v>500</v>
      </c>
      <c r="I340" s="190">
        <f>INPUT!K6</f>
        <v>1936.3312351792665</v>
      </c>
      <c r="J340" s="174">
        <f>IF(B340-D340&gt;=C340-E340,G340*H340*D340,I340*E340)</f>
        <v>22000</v>
      </c>
      <c r="K340" s="192">
        <f>MIN(INPUT!AQ6/MAX(ABS(B177),ABS(C177),INPUT!AO6),1)</f>
        <v>0.93421052631578949</v>
      </c>
      <c r="L340" s="193">
        <f>INPUT!O6</f>
        <v>12</v>
      </c>
      <c r="M340" s="192">
        <f>2*F340*L340/J340</f>
        <v>1.5822272559366473</v>
      </c>
      <c r="N340" s="194">
        <f>IF(INPUT!AQ6&gt;=INPUT!AO6,1,(12+M340*(3*K340-K340^3))/(12+2*M340))</f>
        <v>0.99867490759818722</v>
      </c>
    </row>
    <row r="341">
      <c r="A341" s="187">
        <f>A178</f>
        <v>101</v>
      </c>
      <c r="B341" s="188">
        <f>INPUT!AT7</f>
        <v>1472.3749846085932</v>
      </c>
      <c r="C341" s="188">
        <f>INPUT!AU7</f>
        <v>1361.6250153914068</v>
      </c>
      <c r="D341" s="188">
        <f>INPUT!J7</f>
        <v>22</v>
      </c>
      <c r="E341" s="188">
        <f>INPUT!L7</f>
        <v>12</v>
      </c>
      <c r="F341" s="189">
        <f>MAX(B341-D341,C341-E341)</f>
        <v>1450.3749846085932</v>
      </c>
      <c r="G341" s="190">
        <f>INPUT!H7</f>
        <v>2</v>
      </c>
      <c r="H341" s="190">
        <f>INPUT!I7</f>
        <v>500</v>
      </c>
      <c r="I341" s="190">
        <f>INPUT!K7</f>
        <v>1936.3312351792665</v>
      </c>
      <c r="J341" s="174">
        <f>IF(B341-D341&gt;=C341-E341,G341*H341*D341,I341*E341)</f>
        <v>22000</v>
      </c>
      <c r="K341" s="192">
        <f>MIN(INPUT!AQ7/MAX(ABS(B178),ABS(C178),INPUT!AO7),1)</f>
        <v>0.93421052631578949</v>
      </c>
      <c r="L341" s="193">
        <f>INPUT!O7</f>
        <v>12</v>
      </c>
      <c r="M341" s="192">
        <f>2*F341*L341/J341</f>
        <v>1.5822272559366473</v>
      </c>
      <c r="N341" s="194">
        <f>IF(INPUT!AQ7&gt;=INPUT!AO7,1,(12+M341*(3*K341-K341^3))/(12+2*M341))</f>
        <v>0.99867490759818722</v>
      </c>
    </row>
    <row r="342">
      <c r="A342" s="187">
        <f>A179</f>
        <v>101</v>
      </c>
      <c r="B342" s="188">
        <f>INPUT!AT8</f>
        <v>1472.3749846085932</v>
      </c>
      <c r="C342" s="188">
        <f>INPUT!AU8</f>
        <v>1361.6250153914068</v>
      </c>
      <c r="D342" s="188">
        <f>INPUT!J8</f>
        <v>22</v>
      </c>
      <c r="E342" s="188">
        <f>INPUT!L8</f>
        <v>12</v>
      </c>
      <c r="F342" s="189">
        <f>MAX(B342-D342,C342-E342)</f>
        <v>1450.3749846085932</v>
      </c>
      <c r="G342" s="190">
        <f>INPUT!H8</f>
        <v>2</v>
      </c>
      <c r="H342" s="190">
        <f>INPUT!I8</f>
        <v>500</v>
      </c>
      <c r="I342" s="190">
        <f>INPUT!K8</f>
        <v>1936.3312351792665</v>
      </c>
      <c r="J342" s="174">
        <f>IF(B342-D342&gt;=C342-E342,G342*H342*D342,I342*E342)</f>
        <v>22000</v>
      </c>
      <c r="K342" s="192">
        <f>MIN(INPUT!AQ8/MAX(ABS(B179),ABS(C179),INPUT!AO8),1)</f>
        <v>0.93421052631578949</v>
      </c>
      <c r="L342" s="193">
        <f>INPUT!O8</f>
        <v>12</v>
      </c>
      <c r="M342" s="192">
        <f>2*F342*L342/J342</f>
        <v>1.5822272559366473</v>
      </c>
      <c r="N342" s="194">
        <f>IF(INPUT!AQ8&gt;=INPUT!AO8,1,(12+M342*(3*K342-K342^3))/(12+2*M342))</f>
        <v>0.99867490759818722</v>
      </c>
    </row>
    <row r="343">
      <c r="A343" s="187">
        <f>A180</f>
        <v>101</v>
      </c>
      <c r="B343" s="188">
        <f>INPUT!AT9</f>
        <v>1472.3749846085932</v>
      </c>
      <c r="C343" s="188">
        <f>INPUT!AU9</f>
        <v>1361.6250153914068</v>
      </c>
      <c r="D343" s="188">
        <f>INPUT!J9</f>
        <v>22</v>
      </c>
      <c r="E343" s="188">
        <f>INPUT!L9</f>
        <v>12</v>
      </c>
      <c r="F343" s="189">
        <f>MAX(B343-D343,C343-E343)</f>
        <v>1450.3749846085932</v>
      </c>
      <c r="G343" s="190">
        <f>INPUT!H9</f>
        <v>2</v>
      </c>
      <c r="H343" s="190">
        <f>INPUT!I9</f>
        <v>500</v>
      </c>
      <c r="I343" s="190">
        <f>INPUT!K9</f>
        <v>1936.3312351792665</v>
      </c>
      <c r="J343" s="174">
        <f>IF(B343-D343&gt;=C343-E343,G343*H343*D343,I343*E343)</f>
        <v>22000</v>
      </c>
      <c r="K343" s="192">
        <f>MIN(INPUT!AQ9/MAX(ABS(B180),ABS(C180),INPUT!AO9),1)</f>
        <v>0.93421052631578949</v>
      </c>
      <c r="L343" s="193">
        <f>INPUT!O9</f>
        <v>12</v>
      </c>
      <c r="M343" s="192">
        <f>2*F343*L343/J343</f>
        <v>1.5822272559366473</v>
      </c>
      <c r="N343" s="194">
        <f>IF(INPUT!AQ9&gt;=INPUT!AO9,1,(12+M343*(3*K343-K343^3))/(12+2*M343))</f>
        <v>0.99867490759818722</v>
      </c>
    </row>
    <row r="344">
      <c r="A344" s="187">
        <f>A181</f>
        <v>101</v>
      </c>
      <c r="B344" s="188">
        <f>INPUT!AT10</f>
        <v>1472.3749846085932</v>
      </c>
      <c r="C344" s="188">
        <f>INPUT!AU10</f>
        <v>1361.6250153914068</v>
      </c>
      <c r="D344" s="188">
        <f>INPUT!J10</f>
        <v>22</v>
      </c>
      <c r="E344" s="188">
        <f>INPUT!L10</f>
        <v>12</v>
      </c>
      <c r="F344" s="189">
        <f>MAX(B344-D344,C344-E344)</f>
        <v>1450.3749846085932</v>
      </c>
      <c r="G344" s="190">
        <f>INPUT!H10</f>
        <v>2</v>
      </c>
      <c r="H344" s="190">
        <f>INPUT!I10</f>
        <v>500</v>
      </c>
      <c r="I344" s="190">
        <f>INPUT!K10</f>
        <v>1936.3312351792665</v>
      </c>
      <c r="J344" s="174">
        <f>IF(B344-D344&gt;=C344-E344,G344*H344*D344,I344*E344)</f>
        <v>22000</v>
      </c>
      <c r="K344" s="192">
        <f>MIN(INPUT!AQ10/MAX(ABS(B181),ABS(C181),INPUT!AO10),1)</f>
        <v>0.93421052631578949</v>
      </c>
      <c r="L344" s="193">
        <f>INPUT!O10</f>
        <v>12</v>
      </c>
      <c r="M344" s="192">
        <f>2*F344*L344/J344</f>
        <v>1.5822272559366473</v>
      </c>
      <c r="N344" s="194">
        <f>IF(INPUT!AQ10&gt;=INPUT!AO10,1,(12+M344*(3*K344-K344^3))/(12+2*M344))</f>
        <v>0.99867490759818722</v>
      </c>
    </row>
    <row r="345">
      <c r="A345" s="187">
        <f>A182</f>
        <v>101</v>
      </c>
      <c r="B345" s="188">
        <f>INPUT!AT11</f>
        <v>1472.3749846085932</v>
      </c>
      <c r="C345" s="188">
        <f>INPUT!AU11</f>
        <v>1361.6250153914068</v>
      </c>
      <c r="D345" s="188">
        <f>INPUT!J11</f>
        <v>22</v>
      </c>
      <c r="E345" s="188">
        <f>INPUT!L11</f>
        <v>12</v>
      </c>
      <c r="F345" s="189">
        <f>MAX(B345-D345,C345-E345)</f>
        <v>1450.3749846085932</v>
      </c>
      <c r="G345" s="190">
        <f>INPUT!H11</f>
        <v>2</v>
      </c>
      <c r="H345" s="190">
        <f>INPUT!I11</f>
        <v>500</v>
      </c>
      <c r="I345" s="190">
        <f>INPUT!K11</f>
        <v>1936.3312351792665</v>
      </c>
      <c r="J345" s="174">
        <f>IF(B345-D345&gt;=C345-E345,G345*H345*D345,I345*E345)</f>
        <v>22000</v>
      </c>
      <c r="K345" s="192">
        <f>MIN(INPUT!AQ11/MAX(ABS(B182),ABS(C182),INPUT!AO11),1)</f>
        <v>0.93421052631578949</v>
      </c>
      <c r="L345" s="193">
        <f>INPUT!O11</f>
        <v>12</v>
      </c>
      <c r="M345" s="192">
        <f>2*F345*L345/J345</f>
        <v>1.5822272559366473</v>
      </c>
      <c r="N345" s="194">
        <f>IF(INPUT!AQ11&gt;=INPUT!AO11,1,(12+M345*(3*K345-K345^3))/(12+2*M345))</f>
        <v>0.99867490759818722</v>
      </c>
    </row>
    <row r="346">
      <c r="A346" s="187">
        <f>A183</f>
        <v>101</v>
      </c>
      <c r="B346" s="188">
        <f>INPUT!AT12</f>
        <v>1472.3749846085932</v>
      </c>
      <c r="C346" s="188">
        <f>INPUT!AU12</f>
        <v>1361.6250153914068</v>
      </c>
      <c r="D346" s="188">
        <f>INPUT!J12</f>
        <v>22</v>
      </c>
      <c r="E346" s="188">
        <f>INPUT!L12</f>
        <v>12</v>
      </c>
      <c r="F346" s="189">
        <f>MAX(B346-D346,C346-E346)</f>
        <v>1450.3749846085932</v>
      </c>
      <c r="G346" s="190">
        <f>INPUT!H12</f>
        <v>2</v>
      </c>
      <c r="H346" s="190">
        <f>INPUT!I12</f>
        <v>500</v>
      </c>
      <c r="I346" s="190">
        <f>INPUT!K12</f>
        <v>1936.3312351792665</v>
      </c>
      <c r="J346" s="174">
        <f>IF(B346-D346&gt;=C346-E346,G346*H346*D346,I346*E346)</f>
        <v>22000</v>
      </c>
      <c r="K346" s="192">
        <f>MIN(INPUT!AQ12/MAX(ABS(B183),ABS(C183),INPUT!AO12),1)</f>
        <v>0.93421052631578949</v>
      </c>
      <c r="L346" s="193">
        <f>INPUT!O12</f>
        <v>12</v>
      </c>
      <c r="M346" s="192">
        <f>2*F346*L346/J346</f>
        <v>1.5822272559366473</v>
      </c>
      <c r="N346" s="194">
        <f>IF(INPUT!AQ12&gt;=INPUT!AO12,1,(12+M346*(3*K346-K346^3))/(12+2*M346))</f>
        <v>0.99867490759818722</v>
      </c>
    </row>
    <row r="347">
      <c r="A347" s="187">
        <f>A184</f>
        <v>101</v>
      </c>
      <c r="B347" s="188">
        <f>INPUT!AT13</f>
        <v>1472.3749846085932</v>
      </c>
      <c r="C347" s="188">
        <f>INPUT!AU13</f>
        <v>1361.6250153914068</v>
      </c>
      <c r="D347" s="188">
        <f>INPUT!J13</f>
        <v>22</v>
      </c>
      <c r="E347" s="188">
        <f>INPUT!L13</f>
        <v>12</v>
      </c>
      <c r="F347" s="189">
        <f>MAX(B347-D347,C347-E347)</f>
        <v>1450.3749846085932</v>
      </c>
      <c r="G347" s="190">
        <f>INPUT!H13</f>
        <v>2</v>
      </c>
      <c r="H347" s="190">
        <f>INPUT!I13</f>
        <v>500</v>
      </c>
      <c r="I347" s="190">
        <f>INPUT!K13</f>
        <v>1936.3312351792665</v>
      </c>
      <c r="J347" s="174">
        <f>IF(B347-D347&gt;=C347-E347,G347*H347*D347,I347*E347)</f>
        <v>22000</v>
      </c>
      <c r="K347" s="192">
        <f>MIN(INPUT!AQ13/MAX(ABS(B184),ABS(C184),INPUT!AO13),1)</f>
        <v>0.93421052631578949</v>
      </c>
      <c r="L347" s="193">
        <f>INPUT!O13</f>
        <v>12</v>
      </c>
      <c r="M347" s="192">
        <f>2*F347*L347/J347</f>
        <v>1.5822272559366473</v>
      </c>
      <c r="N347" s="194">
        <f>IF(INPUT!AQ13&gt;=INPUT!AO13,1,(12+M347*(3*K347-K347^3))/(12+2*M347))</f>
        <v>0.99867490759818722</v>
      </c>
    </row>
    <row r="348">
      <c r="A348" s="187">
        <f>A185</f>
        <v>101</v>
      </c>
      <c r="B348" s="188">
        <f>INPUT!AT14</f>
        <v>1472.3749846085932</v>
      </c>
      <c r="C348" s="188">
        <f>INPUT!AU14</f>
        <v>1361.6250153914068</v>
      </c>
      <c r="D348" s="188">
        <f>INPUT!J14</f>
        <v>22</v>
      </c>
      <c r="E348" s="188">
        <f>INPUT!L14</f>
        <v>12</v>
      </c>
      <c r="F348" s="189">
        <f>MAX(B348-D348,C348-E348)</f>
        <v>1450.3749846085932</v>
      </c>
      <c r="G348" s="190">
        <f>INPUT!H14</f>
        <v>2</v>
      </c>
      <c r="H348" s="190">
        <f>INPUT!I14</f>
        <v>500</v>
      </c>
      <c r="I348" s="190">
        <f>INPUT!K14</f>
        <v>1936.3312351792665</v>
      </c>
      <c r="J348" s="174">
        <f>IF(B348-D348&gt;=C348-E348,G348*H348*D348,I348*E348)</f>
        <v>22000</v>
      </c>
      <c r="K348" s="192">
        <f>MIN(INPUT!AQ14/MAX(ABS(B185),ABS(C185),INPUT!AO14),1)</f>
        <v>0.93421052631578949</v>
      </c>
      <c r="L348" s="193">
        <f>INPUT!O14</f>
        <v>12</v>
      </c>
      <c r="M348" s="192">
        <f>2*F348*L348/J348</f>
        <v>1.5822272559366473</v>
      </c>
      <c r="N348" s="194">
        <f>IF(INPUT!AQ14&gt;=INPUT!AO14,1,(12+M348*(3*K348-K348^3))/(12+2*M348))</f>
        <v>0.99867490759818722</v>
      </c>
    </row>
    <row r="349">
      <c r="A349" s="187">
        <f>A186</f>
        <v>101</v>
      </c>
      <c r="B349" s="188">
        <f>INPUT!AT15</f>
        <v>1472.3749846085932</v>
      </c>
      <c r="C349" s="188">
        <f>INPUT!AU15</f>
        <v>1361.6250153914068</v>
      </c>
      <c r="D349" s="188">
        <f>INPUT!J15</f>
        <v>22</v>
      </c>
      <c r="E349" s="188">
        <f>INPUT!L15</f>
        <v>12</v>
      </c>
      <c r="F349" s="189">
        <f>MAX(B349-D349,C349-E349)</f>
        <v>1450.3749846085932</v>
      </c>
      <c r="G349" s="190">
        <f>INPUT!H15</f>
        <v>2</v>
      </c>
      <c r="H349" s="190">
        <f>INPUT!I15</f>
        <v>500</v>
      </c>
      <c r="I349" s="190">
        <f>INPUT!K15</f>
        <v>1936.3312351792665</v>
      </c>
      <c r="J349" s="174">
        <f>IF(B349-D349&gt;=C349-E349,G349*H349*D349,I349*E349)</f>
        <v>22000</v>
      </c>
      <c r="K349" s="192">
        <f>MIN(INPUT!AQ15/MAX(ABS(B186),ABS(C186),INPUT!AO15),1)</f>
        <v>0.93421052631578949</v>
      </c>
      <c r="L349" s="193">
        <f>INPUT!O15</f>
        <v>12</v>
      </c>
      <c r="M349" s="192">
        <f>2*F349*L349/J349</f>
        <v>1.5822272559366473</v>
      </c>
      <c r="N349" s="194">
        <f>IF(INPUT!AQ15&gt;=INPUT!AO15,1,(12+M349*(3*K349-K349^3))/(12+2*M349))</f>
        <v>0.99867490759818722</v>
      </c>
    </row>
    <row r="350">
      <c r="A350" s="187">
        <f>A187</f>
        <v>101</v>
      </c>
      <c r="B350" s="188">
        <f>INPUT!AT16</f>
        <v>1472.3749846085932</v>
      </c>
      <c r="C350" s="188">
        <f>INPUT!AU16</f>
        <v>1361.6250153914068</v>
      </c>
      <c r="D350" s="188">
        <f>INPUT!J16</f>
        <v>22</v>
      </c>
      <c r="E350" s="188">
        <f>INPUT!L16</f>
        <v>12</v>
      </c>
      <c r="F350" s="189">
        <f>MAX(B350-D350,C350-E350)</f>
        <v>1450.3749846085932</v>
      </c>
      <c r="G350" s="190">
        <f>INPUT!H16</f>
        <v>2</v>
      </c>
      <c r="H350" s="190">
        <f>INPUT!I16</f>
        <v>500</v>
      </c>
      <c r="I350" s="190">
        <f>INPUT!K16</f>
        <v>1936.3312351792665</v>
      </c>
      <c r="J350" s="174">
        <f>IF(B350-D350&gt;=C350-E350,G350*H350*D350,I350*E350)</f>
        <v>22000</v>
      </c>
      <c r="K350" s="192">
        <f>MIN(INPUT!AQ16/MAX(ABS(B187),ABS(C187),INPUT!AO16),1)</f>
        <v>0.93421052631578949</v>
      </c>
      <c r="L350" s="193">
        <f>INPUT!O16</f>
        <v>12</v>
      </c>
      <c r="M350" s="192">
        <f>2*F350*L350/J350</f>
        <v>1.5822272559366473</v>
      </c>
      <c r="N350" s="194">
        <f>IF(INPUT!AQ16&gt;=INPUT!AO16,1,(12+M350*(3*K350-K350^3))/(12+2*M350))</f>
        <v>0.99867490759818722</v>
      </c>
    </row>
    <row r="351">
      <c r="A351" s="187">
        <f>A188</f>
        <v>101</v>
      </c>
      <c r="B351" s="188">
        <f>INPUT!AT17</f>
        <v>1472.3749846085932</v>
      </c>
      <c r="C351" s="188">
        <f>INPUT!AU17</f>
        <v>1361.6250153914068</v>
      </c>
      <c r="D351" s="188">
        <f>INPUT!J17</f>
        <v>22</v>
      </c>
      <c r="E351" s="188">
        <f>INPUT!L17</f>
        <v>12</v>
      </c>
      <c r="F351" s="189">
        <f>MAX(B351-D351,C351-E351)</f>
        <v>1450.3749846085932</v>
      </c>
      <c r="G351" s="190">
        <f>INPUT!H17</f>
        <v>2</v>
      </c>
      <c r="H351" s="190">
        <f>INPUT!I17</f>
        <v>500</v>
      </c>
      <c r="I351" s="190">
        <f>INPUT!K17</f>
        <v>1936.3312351792665</v>
      </c>
      <c r="J351" s="174">
        <f>IF(B351-D351&gt;=C351-E351,G351*H351*D351,I351*E351)</f>
        <v>22000</v>
      </c>
      <c r="K351" s="192">
        <f>MIN(INPUT!AQ17/MAX(ABS(B188),ABS(C188),INPUT!AO17),1)</f>
        <v>0.93421052631578949</v>
      </c>
      <c r="L351" s="193">
        <f>INPUT!O17</f>
        <v>12</v>
      </c>
      <c r="M351" s="192">
        <f>2*F351*L351/J351</f>
        <v>1.5822272559366473</v>
      </c>
      <c r="N351" s="194">
        <f>IF(INPUT!AQ17&gt;=INPUT!AO17,1,(12+M351*(3*K351-K351^3))/(12+2*M351))</f>
        <v>0.99867490759818722</v>
      </c>
    </row>
    <row r="352">
      <c r="A352" s="187">
        <f>A189</f>
        <v>101</v>
      </c>
      <c r="B352" s="188">
        <f>INPUT!AT18</f>
        <v>1472.3749846085932</v>
      </c>
      <c r="C352" s="188">
        <f>INPUT!AU18</f>
        <v>1361.6250153914068</v>
      </c>
      <c r="D352" s="188">
        <f>INPUT!J18</f>
        <v>22</v>
      </c>
      <c r="E352" s="188">
        <f>INPUT!L18</f>
        <v>12</v>
      </c>
      <c r="F352" s="189">
        <f>MAX(B352-D352,C352-E352)</f>
        <v>1450.3749846085932</v>
      </c>
      <c r="G352" s="190">
        <f>INPUT!H18</f>
        <v>2</v>
      </c>
      <c r="H352" s="190">
        <f>INPUT!I18</f>
        <v>500</v>
      </c>
      <c r="I352" s="190">
        <f>INPUT!K18</f>
        <v>1936.3312351792665</v>
      </c>
      <c r="J352" s="174">
        <f>IF(B352-D352&gt;=C352-E352,G352*H352*D352,I352*E352)</f>
        <v>22000</v>
      </c>
      <c r="K352" s="192">
        <f>MIN(INPUT!AQ18/MAX(ABS(B189),ABS(C189),INPUT!AO18),1)</f>
        <v>0.93421052631578949</v>
      </c>
      <c r="L352" s="193">
        <f>INPUT!O18</f>
        <v>12</v>
      </c>
      <c r="M352" s="192">
        <f>2*F352*L352/J352</f>
        <v>1.5822272559366473</v>
      </c>
      <c r="N352" s="194">
        <f>IF(INPUT!AQ18&gt;=INPUT!AO18,1,(12+M352*(3*K352-K352^3))/(12+2*M352))</f>
        <v>0.99867490759818722</v>
      </c>
    </row>
    <row r="353">
      <c r="A353" s="187">
        <f>A190</f>
        <v>101</v>
      </c>
      <c r="B353" s="188">
        <f>INPUT!AT19</f>
        <v>1472.3749846085932</v>
      </c>
      <c r="C353" s="188">
        <f>INPUT!AU19</f>
        <v>1361.6250153914068</v>
      </c>
      <c r="D353" s="188">
        <f>INPUT!J19</f>
        <v>22</v>
      </c>
      <c r="E353" s="188">
        <f>INPUT!L19</f>
        <v>12</v>
      </c>
      <c r="F353" s="189">
        <f>MAX(B353-D353,C353-E353)</f>
        <v>1450.3749846085932</v>
      </c>
      <c r="G353" s="190">
        <f>INPUT!H19</f>
        <v>2</v>
      </c>
      <c r="H353" s="190">
        <f>INPUT!I19</f>
        <v>500</v>
      </c>
      <c r="I353" s="190">
        <f>INPUT!K19</f>
        <v>1936.3312351792665</v>
      </c>
      <c r="J353" s="174">
        <f>IF(B353-D353&gt;=C353-E353,G353*H353*D353,I353*E353)</f>
        <v>22000</v>
      </c>
      <c r="K353" s="192">
        <f>MIN(INPUT!AQ19/MAX(ABS(B190),ABS(C190),INPUT!AO19),1)</f>
        <v>0.93421052631578949</v>
      </c>
      <c r="L353" s="193">
        <f>INPUT!O19</f>
        <v>12</v>
      </c>
      <c r="M353" s="192">
        <f>2*F353*L353/J353</f>
        <v>1.5822272559366473</v>
      </c>
      <c r="N353" s="194">
        <f>IF(INPUT!AQ19&gt;=INPUT!AO19,1,(12+M353*(3*K353-K353^3))/(12+2*M353))</f>
        <v>0.99867490759818722</v>
      </c>
    </row>
    <row r="354">
      <c r="A354" s="187">
        <f>A191</f>
        <v>101</v>
      </c>
      <c r="B354" s="188">
        <f>INPUT!AT20</f>
        <v>1472.3749846085932</v>
      </c>
      <c r="C354" s="188">
        <f>INPUT!AU20</f>
        <v>1361.6250153914068</v>
      </c>
      <c r="D354" s="188">
        <f>INPUT!J20</f>
        <v>22</v>
      </c>
      <c r="E354" s="188">
        <f>INPUT!L20</f>
        <v>12</v>
      </c>
      <c r="F354" s="189">
        <f>MAX(B354-D354,C354-E354)</f>
        <v>1450.3749846085932</v>
      </c>
      <c r="G354" s="190">
        <f>INPUT!H20</f>
        <v>2</v>
      </c>
      <c r="H354" s="190">
        <f>INPUT!I20</f>
        <v>500</v>
      </c>
      <c r="I354" s="190">
        <f>INPUT!K20</f>
        <v>1936.3312351792665</v>
      </c>
      <c r="J354" s="174">
        <f>IF(B354-D354&gt;=C354-E354,G354*H354*D354,I354*E354)</f>
        <v>22000</v>
      </c>
      <c r="K354" s="192">
        <f>MIN(INPUT!AQ20/MAX(ABS(B191),ABS(C191),INPUT!AO20),1)</f>
        <v>0.93421052631578949</v>
      </c>
      <c r="L354" s="193">
        <f>INPUT!O20</f>
        <v>12</v>
      </c>
      <c r="M354" s="192">
        <f>2*F354*L354/J354</f>
        <v>1.5822272559366473</v>
      </c>
      <c r="N354" s="194">
        <f>IF(INPUT!AQ20&gt;=INPUT!AO20,1,(12+M354*(3*K354-K354^3))/(12+2*M354))</f>
        <v>0.99867490759818722</v>
      </c>
    </row>
    <row r="355">
      <c r="A355" s="187">
        <f>A192</f>
        <v>101</v>
      </c>
      <c r="B355" s="188">
        <f>INPUT!AT21</f>
        <v>1472.3749846085932</v>
      </c>
      <c r="C355" s="188">
        <f>INPUT!AU21</f>
        <v>1361.6250153914068</v>
      </c>
      <c r="D355" s="188">
        <f>INPUT!J21</f>
        <v>22</v>
      </c>
      <c r="E355" s="188">
        <f>INPUT!L21</f>
        <v>12</v>
      </c>
      <c r="F355" s="189">
        <f>MAX(B355-D355,C355-E355)</f>
        <v>1450.3749846085932</v>
      </c>
      <c r="G355" s="190">
        <f>INPUT!H21</f>
        <v>2</v>
      </c>
      <c r="H355" s="190">
        <f>INPUT!I21</f>
        <v>500</v>
      </c>
      <c r="I355" s="190">
        <f>INPUT!K21</f>
        <v>1936.3312351792665</v>
      </c>
      <c r="J355" s="174">
        <f>IF(B355-D355&gt;=C355-E355,G355*H355*D355,I355*E355)</f>
        <v>22000</v>
      </c>
      <c r="K355" s="192">
        <f>MIN(INPUT!AQ21/MAX(ABS(B192),ABS(C192),INPUT!AO21),1)</f>
        <v>0.93421052631578949</v>
      </c>
      <c r="L355" s="193">
        <f>INPUT!O21</f>
        <v>12</v>
      </c>
      <c r="M355" s="192">
        <f>2*F355*L355/J355</f>
        <v>1.5822272559366473</v>
      </c>
      <c r="N355" s="194">
        <f>IF(INPUT!AQ21&gt;=INPUT!AO21,1,(12+M355*(3*K355-K355^3))/(12+2*M355))</f>
        <v>0.99867490759818722</v>
      </c>
    </row>
    <row r="356">
      <c r="A356" s="187">
        <f>A193</f>
        <v>101</v>
      </c>
      <c r="B356" s="188">
        <f>INPUT!AT22</f>
        <v>1472.3749846085932</v>
      </c>
      <c r="C356" s="188">
        <f>INPUT!AU22</f>
        <v>1361.6250153914068</v>
      </c>
      <c r="D356" s="188">
        <f>INPUT!J22</f>
        <v>22</v>
      </c>
      <c r="E356" s="188">
        <f>INPUT!L22</f>
        <v>12</v>
      </c>
      <c r="F356" s="189">
        <f>MAX(B356-D356,C356-E356)</f>
        <v>1450.3749846085932</v>
      </c>
      <c r="G356" s="190">
        <f>INPUT!H22</f>
        <v>2</v>
      </c>
      <c r="H356" s="190">
        <f>INPUT!I22</f>
        <v>500</v>
      </c>
      <c r="I356" s="190">
        <f>INPUT!K22</f>
        <v>1936.3312351792665</v>
      </c>
      <c r="J356" s="174">
        <f>IF(B356-D356&gt;=C356-E356,G356*H356*D356,I356*E356)</f>
        <v>22000</v>
      </c>
      <c r="K356" s="192">
        <f>MIN(INPUT!AQ22/MAX(ABS(B193),ABS(C193),INPUT!AO22),1)</f>
        <v>0.93421052631578949</v>
      </c>
      <c r="L356" s="193">
        <f>INPUT!O22</f>
        <v>12</v>
      </c>
      <c r="M356" s="192">
        <f>2*F356*L356/J356</f>
        <v>1.5822272559366473</v>
      </c>
      <c r="N356" s="194">
        <f>IF(INPUT!AQ22&gt;=INPUT!AO22,1,(12+M356*(3*K356-K356^3))/(12+2*M356))</f>
        <v>0.99867490759818722</v>
      </c>
    </row>
    <row r="357">
      <c r="A357" s="187">
        <f>A194</f>
        <v>101</v>
      </c>
      <c r="B357" s="188">
        <f>INPUT!AT23</f>
        <v>1472.3749846085932</v>
      </c>
      <c r="C357" s="188">
        <f>INPUT!AU23</f>
        <v>1361.6250153914068</v>
      </c>
      <c r="D357" s="188">
        <f>INPUT!J23</f>
        <v>22</v>
      </c>
      <c r="E357" s="188">
        <f>INPUT!L23</f>
        <v>12</v>
      </c>
      <c r="F357" s="189">
        <f>MAX(B357-D357,C357-E357)</f>
        <v>1450.3749846085932</v>
      </c>
      <c r="G357" s="190">
        <f>INPUT!H23</f>
        <v>2</v>
      </c>
      <c r="H357" s="190">
        <f>INPUT!I23</f>
        <v>500</v>
      </c>
      <c r="I357" s="190">
        <f>INPUT!K23</f>
        <v>1936.3312351792665</v>
      </c>
      <c r="J357" s="174">
        <f>IF(B357-D357&gt;=C357-E357,G357*H357*D357,I357*E357)</f>
        <v>22000</v>
      </c>
      <c r="K357" s="192">
        <f>MIN(INPUT!AQ23/MAX(ABS(B194),ABS(C194),INPUT!AO23),1)</f>
        <v>0.93421052631578949</v>
      </c>
      <c r="L357" s="193">
        <f>INPUT!O23</f>
        <v>12</v>
      </c>
      <c r="M357" s="192">
        <f>2*F357*L357/J357</f>
        <v>1.5822272559366473</v>
      </c>
      <c r="N357" s="194">
        <f>IF(INPUT!AQ23&gt;=INPUT!AO23,1,(12+M357*(3*K357-K357^3))/(12+2*M357))</f>
        <v>0.99867490759818722</v>
      </c>
    </row>
    <row r="358">
      <c r="A358" s="187">
        <f>A195</f>
        <v>101</v>
      </c>
      <c r="B358" s="188">
        <f>INPUT!AT24</f>
        <v>1472.3749846085932</v>
      </c>
      <c r="C358" s="188">
        <f>INPUT!AU24</f>
        <v>1361.6250153914068</v>
      </c>
      <c r="D358" s="188">
        <f>INPUT!J24</f>
        <v>22</v>
      </c>
      <c r="E358" s="188">
        <f>INPUT!L24</f>
        <v>12</v>
      </c>
      <c r="F358" s="189">
        <f>MAX(B358-D358,C358-E358)</f>
        <v>1450.3749846085932</v>
      </c>
      <c r="G358" s="190">
        <f>INPUT!H24</f>
        <v>2</v>
      </c>
      <c r="H358" s="190">
        <f>INPUT!I24</f>
        <v>500</v>
      </c>
      <c r="I358" s="190">
        <f>INPUT!K24</f>
        <v>1936.3312351792665</v>
      </c>
      <c r="J358" s="174">
        <f>IF(B358-D358&gt;=C358-E358,G358*H358*D358,I358*E358)</f>
        <v>22000</v>
      </c>
      <c r="K358" s="192">
        <f>MIN(INPUT!AQ24/MAX(ABS(B195),ABS(C195),INPUT!AO24),1)</f>
        <v>0.93421052631578949</v>
      </c>
      <c r="L358" s="193">
        <f>INPUT!O24</f>
        <v>12</v>
      </c>
      <c r="M358" s="192">
        <f>2*F358*L358/J358</f>
        <v>1.5822272559366473</v>
      </c>
      <c r="N358" s="194">
        <f>IF(INPUT!AQ24&gt;=INPUT!AO24,1,(12+M358*(3*K358-K358^3))/(12+2*M358))</f>
        <v>0.99867490759818722</v>
      </c>
    </row>
    <row r="359">
      <c r="A359" s="187">
        <f>A196</f>
        <v>101</v>
      </c>
      <c r="B359" s="188">
        <f>INPUT!AT25</f>
        <v>1472.3749846085932</v>
      </c>
      <c r="C359" s="188">
        <f>INPUT!AU25</f>
        <v>1361.6250153914068</v>
      </c>
      <c r="D359" s="188">
        <f>INPUT!J25</f>
        <v>22</v>
      </c>
      <c r="E359" s="188">
        <f>INPUT!L25</f>
        <v>12</v>
      </c>
      <c r="F359" s="189">
        <f>MAX(B359-D359,C359-E359)</f>
        <v>1450.3749846085932</v>
      </c>
      <c r="G359" s="190">
        <f>INPUT!H25</f>
        <v>2</v>
      </c>
      <c r="H359" s="190">
        <f>INPUT!I25</f>
        <v>500</v>
      </c>
      <c r="I359" s="190">
        <f>INPUT!K25</f>
        <v>1936.3312351792665</v>
      </c>
      <c r="J359" s="174">
        <f>IF(B359-D359&gt;=C359-E359,G359*H359*D359,I359*E359)</f>
        <v>22000</v>
      </c>
      <c r="K359" s="192">
        <f>MIN(INPUT!AQ25/MAX(ABS(B196),ABS(C196),INPUT!AO25),1)</f>
        <v>0.93421052631578949</v>
      </c>
      <c r="L359" s="193">
        <f>INPUT!O25</f>
        <v>12</v>
      </c>
      <c r="M359" s="192">
        <f>2*F359*L359/J359</f>
        <v>1.5822272559366473</v>
      </c>
      <c r="N359" s="194">
        <f>IF(INPUT!AQ25&gt;=INPUT!AO25,1,(12+M359*(3*K359-K359^3))/(12+2*M359))</f>
        <v>0.99867490759818722</v>
      </c>
    </row>
    <row r="360">
      <c r="A360" s="187">
        <f>A197</f>
        <v>101</v>
      </c>
      <c r="B360" s="188">
        <f>INPUT!AT26</f>
        <v>1472.3749846085932</v>
      </c>
      <c r="C360" s="188">
        <f>INPUT!AU26</f>
        <v>1361.6250153914068</v>
      </c>
      <c r="D360" s="188">
        <f>INPUT!J26</f>
        <v>22</v>
      </c>
      <c r="E360" s="188">
        <f>INPUT!L26</f>
        <v>12</v>
      </c>
      <c r="F360" s="189">
        <f>MAX(B360-D360,C360-E360)</f>
        <v>1450.3749846085932</v>
      </c>
      <c r="G360" s="190">
        <f>INPUT!H26</f>
        <v>2</v>
      </c>
      <c r="H360" s="190">
        <f>INPUT!I26</f>
        <v>500</v>
      </c>
      <c r="I360" s="190">
        <f>INPUT!K26</f>
        <v>1936.3312351792665</v>
      </c>
      <c r="J360" s="174">
        <f>IF(B360-D360&gt;=C360-E360,G360*H360*D360,I360*E360)</f>
        <v>22000</v>
      </c>
      <c r="K360" s="192">
        <f>MIN(INPUT!AQ26/MAX(ABS(B197),ABS(C197),INPUT!AO26),1)</f>
        <v>0.93421052631578949</v>
      </c>
      <c r="L360" s="193">
        <f>INPUT!O26</f>
        <v>12</v>
      </c>
      <c r="M360" s="192">
        <f>2*F360*L360/J360</f>
        <v>1.5822272559366473</v>
      </c>
      <c r="N360" s="194">
        <f>IF(INPUT!AQ26&gt;=INPUT!AO26,1,(12+M360*(3*K360-K360^3))/(12+2*M360))</f>
        <v>0.99867490759818722</v>
      </c>
    </row>
    <row r="361">
      <c r="A361" s="187">
        <f>A198</f>
        <v>101</v>
      </c>
      <c r="B361" s="188">
        <f>INPUT!AT27</f>
        <v>1472.3749846085932</v>
      </c>
      <c r="C361" s="188">
        <f>INPUT!AU27</f>
        <v>1361.6250153914068</v>
      </c>
      <c r="D361" s="188">
        <f>INPUT!J27</f>
        <v>22</v>
      </c>
      <c r="E361" s="188">
        <f>INPUT!L27</f>
        <v>12</v>
      </c>
      <c r="F361" s="189">
        <f>MAX(B361-D361,C361-E361)</f>
        <v>1450.3749846085932</v>
      </c>
      <c r="G361" s="190">
        <f>INPUT!H27</f>
        <v>2</v>
      </c>
      <c r="H361" s="190">
        <f>INPUT!I27</f>
        <v>500</v>
      </c>
      <c r="I361" s="190">
        <f>INPUT!K27</f>
        <v>1936.3312351792665</v>
      </c>
      <c r="J361" s="174">
        <f>IF(B361-D361&gt;=C361-E361,G361*H361*D361,I361*E361)</f>
        <v>22000</v>
      </c>
      <c r="K361" s="192">
        <f>MIN(INPUT!AQ27/MAX(ABS(B198),ABS(C198),INPUT!AO27),1)</f>
        <v>0.93421052631578949</v>
      </c>
      <c r="L361" s="193">
        <f>INPUT!O27</f>
        <v>12</v>
      </c>
      <c r="M361" s="192">
        <f>2*F361*L361/J361</f>
        <v>1.5822272559366473</v>
      </c>
      <c r="N361" s="194">
        <f>IF(INPUT!AQ27&gt;=INPUT!AO27,1,(12+M361*(3*K361-K361^3))/(12+2*M361))</f>
        <v>0.99867490759818722</v>
      </c>
    </row>
    <row r="362">
      <c r="A362" s="187">
        <f>A199</f>
        <v>101</v>
      </c>
      <c r="B362" s="188">
        <f>INPUT!AT28</f>
        <v>1472.3749846085932</v>
      </c>
      <c r="C362" s="188">
        <f>INPUT!AU28</f>
        <v>1361.6250153914068</v>
      </c>
      <c r="D362" s="188">
        <f>INPUT!J28</f>
        <v>22</v>
      </c>
      <c r="E362" s="188">
        <f>INPUT!L28</f>
        <v>12</v>
      </c>
      <c r="F362" s="189">
        <f>MAX(B362-D362,C362-E362)</f>
        <v>1450.3749846085932</v>
      </c>
      <c r="G362" s="190">
        <f>INPUT!H28</f>
        <v>2</v>
      </c>
      <c r="H362" s="190">
        <f>INPUT!I28</f>
        <v>500</v>
      </c>
      <c r="I362" s="190">
        <f>INPUT!K28</f>
        <v>1936.3312351792665</v>
      </c>
      <c r="J362" s="174">
        <f>IF(B362-D362&gt;=C362-E362,G362*H362*D362,I362*E362)</f>
        <v>22000</v>
      </c>
      <c r="K362" s="192">
        <f>MIN(INPUT!AQ28/MAX(ABS(B199),ABS(C199),INPUT!AO28),1)</f>
        <v>0.93421052631578949</v>
      </c>
      <c r="L362" s="193">
        <f>INPUT!O28</f>
        <v>12</v>
      </c>
      <c r="M362" s="192">
        <f>2*F362*L362/J362</f>
        <v>1.5822272559366473</v>
      </c>
      <c r="N362" s="194">
        <f>IF(INPUT!AQ28&gt;=INPUT!AO28,1,(12+M362*(3*K362-K362^3))/(12+2*M362))</f>
        <v>0.99867490759818722</v>
      </c>
    </row>
    <row r="363">
      <c r="A363" s="187">
        <f>A200</f>
        <v>101</v>
      </c>
      <c r="B363" s="188">
        <f>INPUT!AT29</f>
        <v>1472.3749846085932</v>
      </c>
      <c r="C363" s="188">
        <f>INPUT!AU29</f>
        <v>1361.6250153914068</v>
      </c>
      <c r="D363" s="188">
        <f>INPUT!J29</f>
        <v>22</v>
      </c>
      <c r="E363" s="188">
        <f>INPUT!L29</f>
        <v>12</v>
      </c>
      <c r="F363" s="189">
        <f>MAX(B363-D363,C363-E363)</f>
        <v>1450.3749846085932</v>
      </c>
      <c r="G363" s="190">
        <f>INPUT!H29</f>
        <v>2</v>
      </c>
      <c r="H363" s="190">
        <f>INPUT!I29</f>
        <v>500</v>
      </c>
      <c r="I363" s="190">
        <f>INPUT!K29</f>
        <v>1936.3312351792665</v>
      </c>
      <c r="J363" s="174">
        <f>IF(B363-D363&gt;=C363-E363,G363*H363*D363,I363*E363)</f>
        <v>22000</v>
      </c>
      <c r="K363" s="192">
        <f>MIN(INPUT!AQ29/MAX(ABS(B200),ABS(C200),INPUT!AO29),1)</f>
        <v>0.93421052631578949</v>
      </c>
      <c r="L363" s="193">
        <f>INPUT!O29</f>
        <v>12</v>
      </c>
      <c r="M363" s="192">
        <f>2*F363*L363/J363</f>
        <v>1.5822272559366473</v>
      </c>
      <c r="N363" s="194">
        <f>IF(INPUT!AQ29&gt;=INPUT!AO29,1,(12+M363*(3*K363-K363^3))/(12+2*M363))</f>
        <v>0.99867490759818722</v>
      </c>
    </row>
    <row r="364">
      <c r="A364" s="187">
        <f>A201</f>
        <v>101</v>
      </c>
      <c r="B364" s="188">
        <f>INPUT!AT30</f>
        <v>1472.3749846085932</v>
      </c>
      <c r="C364" s="188">
        <f>INPUT!AU30</f>
        <v>1361.6250153914068</v>
      </c>
      <c r="D364" s="188">
        <f>INPUT!J30</f>
        <v>22</v>
      </c>
      <c r="E364" s="188">
        <f>INPUT!L30</f>
        <v>12</v>
      </c>
      <c r="F364" s="189">
        <f>MAX(B364-D364,C364-E364)</f>
        <v>1450.3749846085932</v>
      </c>
      <c r="G364" s="190">
        <f>INPUT!H30</f>
        <v>2</v>
      </c>
      <c r="H364" s="190">
        <f>INPUT!I30</f>
        <v>500</v>
      </c>
      <c r="I364" s="190">
        <f>INPUT!K30</f>
        <v>1936.3312351792665</v>
      </c>
      <c r="J364" s="174">
        <f>IF(B364-D364&gt;=C364-E364,G364*H364*D364,I364*E364)</f>
        <v>22000</v>
      </c>
      <c r="K364" s="192">
        <f>MIN(INPUT!AQ30/MAX(ABS(B201),ABS(C201),INPUT!AO30),1)</f>
        <v>0.93421052631578949</v>
      </c>
      <c r="L364" s="193">
        <f>INPUT!O30</f>
        <v>12</v>
      </c>
      <c r="M364" s="192">
        <f>2*F364*L364/J364</f>
        <v>1.5822272559366473</v>
      </c>
      <c r="N364" s="194">
        <f>IF(INPUT!AQ30&gt;=INPUT!AO30,1,(12+M364*(3*K364-K364^3))/(12+2*M364))</f>
        <v>0.99867490759818722</v>
      </c>
    </row>
    <row r="365">
      <c r="A365" s="187">
        <f>A202</f>
        <v>101</v>
      </c>
      <c r="B365" s="188">
        <f>INPUT!AT31</f>
        <v>1472.3749846085932</v>
      </c>
      <c r="C365" s="188">
        <f>INPUT!AU31</f>
        <v>1361.6250153914068</v>
      </c>
      <c r="D365" s="188">
        <f>INPUT!J31</f>
        <v>22</v>
      </c>
      <c r="E365" s="188">
        <f>INPUT!L31</f>
        <v>12</v>
      </c>
      <c r="F365" s="189">
        <f>MAX(B365-D365,C365-E365)</f>
        <v>1450.3749846085932</v>
      </c>
      <c r="G365" s="190">
        <f>INPUT!H31</f>
        <v>2</v>
      </c>
      <c r="H365" s="190">
        <f>INPUT!I31</f>
        <v>500</v>
      </c>
      <c r="I365" s="190">
        <f>INPUT!K31</f>
        <v>1936.3312351792665</v>
      </c>
      <c r="J365" s="174">
        <f>IF(B365-D365&gt;=C365-E365,G365*H365*D365,I365*E365)</f>
        <v>22000</v>
      </c>
      <c r="K365" s="192">
        <f>MIN(INPUT!AQ31/MAX(ABS(B202),ABS(C202),INPUT!AO31),1)</f>
        <v>0.93421052631578949</v>
      </c>
      <c r="L365" s="193">
        <f>INPUT!O31</f>
        <v>12</v>
      </c>
      <c r="M365" s="192">
        <f>2*F365*L365/J365</f>
        <v>1.5822272559366473</v>
      </c>
      <c r="N365" s="194">
        <f>IF(INPUT!AQ31&gt;=INPUT!AO31,1,(12+M365*(3*K365-K365^3))/(12+2*M365))</f>
        <v>0.99867490759818722</v>
      </c>
    </row>
    <row r="366">
      <c r="A366" s="187">
        <f>A203</f>
        <v>101</v>
      </c>
      <c r="B366" s="188">
        <f>INPUT!AT32</f>
        <v>1472.3749846085932</v>
      </c>
      <c r="C366" s="188">
        <f>INPUT!AU32</f>
        <v>1361.6250153914068</v>
      </c>
      <c r="D366" s="188">
        <f>INPUT!J32</f>
        <v>22</v>
      </c>
      <c r="E366" s="188">
        <f>INPUT!L32</f>
        <v>12</v>
      </c>
      <c r="F366" s="189">
        <f>MAX(B366-D366,C366-E366)</f>
        <v>1450.3749846085932</v>
      </c>
      <c r="G366" s="190">
        <f>INPUT!H32</f>
        <v>2</v>
      </c>
      <c r="H366" s="190">
        <f>INPUT!I32</f>
        <v>500</v>
      </c>
      <c r="I366" s="190">
        <f>INPUT!K32</f>
        <v>1936.3312351792665</v>
      </c>
      <c r="J366" s="174">
        <f>IF(B366-D366&gt;=C366-E366,G366*H366*D366,I366*E366)</f>
        <v>22000</v>
      </c>
      <c r="K366" s="192">
        <f>MIN(INPUT!AQ32/MAX(ABS(B203),ABS(C203),INPUT!AO32),1)</f>
        <v>0.93421052631578949</v>
      </c>
      <c r="L366" s="193">
        <f>INPUT!O32</f>
        <v>12</v>
      </c>
      <c r="M366" s="192">
        <f>2*F366*L366/J366</f>
        <v>1.5822272559366473</v>
      </c>
      <c r="N366" s="194">
        <f>IF(INPUT!AQ32&gt;=INPUT!AO32,1,(12+M366*(3*K366-K366^3))/(12+2*M366))</f>
        <v>0.99867490759818722</v>
      </c>
    </row>
    <row r="367">
      <c r="A367" s="187">
        <f>A204</f>
        <v>101</v>
      </c>
      <c r="B367" s="188">
        <f>INPUT!AT33</f>
        <v>1472.3749846085932</v>
      </c>
      <c r="C367" s="188">
        <f>INPUT!AU33</f>
        <v>1361.6250153914068</v>
      </c>
      <c r="D367" s="188">
        <f>INPUT!J33</f>
        <v>22</v>
      </c>
      <c r="E367" s="188">
        <f>INPUT!L33</f>
        <v>12</v>
      </c>
      <c r="F367" s="189">
        <f>MAX(B367-D367,C367-E367)</f>
        <v>1450.3749846085932</v>
      </c>
      <c r="G367" s="190">
        <f>INPUT!H33</f>
        <v>2</v>
      </c>
      <c r="H367" s="190">
        <f>INPUT!I33</f>
        <v>500</v>
      </c>
      <c r="I367" s="190">
        <f>INPUT!K33</f>
        <v>1936.3312351792665</v>
      </c>
      <c r="J367" s="174">
        <f>IF(B367-D367&gt;=C367-E367,G367*H367*D367,I367*E367)</f>
        <v>22000</v>
      </c>
      <c r="K367" s="192">
        <f>MIN(INPUT!AQ33/MAX(ABS(B204),ABS(C204),INPUT!AO33),1)</f>
        <v>0.93421052631578949</v>
      </c>
      <c r="L367" s="193">
        <f>INPUT!O33</f>
        <v>12</v>
      </c>
      <c r="M367" s="192">
        <f>2*F367*L367/J367</f>
        <v>1.5822272559366473</v>
      </c>
      <c r="N367" s="194">
        <f>IF(INPUT!AQ33&gt;=INPUT!AO33,1,(12+M367*(3*K367-K367^3))/(12+2*M367))</f>
        <v>0.99867490759818722</v>
      </c>
    </row>
    <row r="368">
      <c r="A368" s="187">
        <f>A205</f>
        <v>101</v>
      </c>
      <c r="B368" s="188">
        <f>INPUT!AT34</f>
        <v>1472.3749846085932</v>
      </c>
      <c r="C368" s="188">
        <f>INPUT!AU34</f>
        <v>1361.6250153914068</v>
      </c>
      <c r="D368" s="188">
        <f>INPUT!J34</f>
        <v>22</v>
      </c>
      <c r="E368" s="188">
        <f>INPUT!L34</f>
        <v>12</v>
      </c>
      <c r="F368" s="189">
        <f>MAX(B368-D368,C368-E368)</f>
        <v>1450.3749846085932</v>
      </c>
      <c r="G368" s="190">
        <f>INPUT!H34</f>
        <v>2</v>
      </c>
      <c r="H368" s="190">
        <f>INPUT!I34</f>
        <v>500</v>
      </c>
      <c r="I368" s="190">
        <f>INPUT!K34</f>
        <v>1936.3312351792665</v>
      </c>
      <c r="J368" s="174">
        <f>IF(B368-D368&gt;=C368-E368,G368*H368*D368,I368*E368)</f>
        <v>22000</v>
      </c>
      <c r="K368" s="192">
        <f>MIN(INPUT!AQ34/MAX(ABS(B205),ABS(C205),INPUT!AO34),1)</f>
        <v>0.93421052631578949</v>
      </c>
      <c r="L368" s="193">
        <f>INPUT!O34</f>
        <v>12</v>
      </c>
      <c r="M368" s="192">
        <f>2*F368*L368/J368</f>
        <v>1.5822272559366473</v>
      </c>
      <c r="N368" s="194">
        <f>IF(INPUT!AQ34&gt;=INPUT!AO34,1,(12+M368*(3*K368-K368^3))/(12+2*M368))</f>
        <v>0.99867490759818722</v>
      </c>
    </row>
    <row r="369">
      <c r="A369" s="187">
        <f>A206</f>
        <v>101</v>
      </c>
      <c r="B369" s="188">
        <f>INPUT!AT35</f>
        <v>1472.3749846085932</v>
      </c>
      <c r="C369" s="188">
        <f>INPUT!AU35</f>
        <v>1361.6250153914068</v>
      </c>
      <c r="D369" s="188">
        <f>INPUT!J35</f>
        <v>22</v>
      </c>
      <c r="E369" s="188">
        <f>INPUT!L35</f>
        <v>12</v>
      </c>
      <c r="F369" s="189">
        <f>MAX(B369-D369,C369-E369)</f>
        <v>1450.3749846085932</v>
      </c>
      <c r="G369" s="190">
        <f>INPUT!H35</f>
        <v>2</v>
      </c>
      <c r="H369" s="190">
        <f>INPUT!I35</f>
        <v>500</v>
      </c>
      <c r="I369" s="190">
        <f>INPUT!K35</f>
        <v>1936.3312351792665</v>
      </c>
      <c r="J369" s="174">
        <f>IF(B369-D369&gt;=C369-E369,G369*H369*D369,I369*E369)</f>
        <v>22000</v>
      </c>
      <c r="K369" s="192">
        <f>MIN(INPUT!AQ35/MAX(ABS(B206),ABS(C206),INPUT!AO35),1)</f>
        <v>0.93421052631578949</v>
      </c>
      <c r="L369" s="193">
        <f>INPUT!O35</f>
        <v>12</v>
      </c>
      <c r="M369" s="192">
        <f>2*F369*L369/J369</f>
        <v>1.5822272559366473</v>
      </c>
      <c r="N369" s="194">
        <f>IF(INPUT!AQ35&gt;=INPUT!AO35,1,(12+M369*(3*K369-K369^3))/(12+2*M369))</f>
        <v>0.99867490759818722</v>
      </c>
    </row>
    <row r="370">
      <c r="A370" s="187">
        <f>A207</f>
        <v>101</v>
      </c>
      <c r="B370" s="188">
        <f>INPUT!AT36</f>
        <v>1472.3749846085932</v>
      </c>
      <c r="C370" s="188">
        <f>INPUT!AU36</f>
        <v>1361.6250153914068</v>
      </c>
      <c r="D370" s="188">
        <f>INPUT!J36</f>
        <v>22</v>
      </c>
      <c r="E370" s="188">
        <f>INPUT!L36</f>
        <v>12</v>
      </c>
      <c r="F370" s="189">
        <f>MAX(B370-D370,C370-E370)</f>
        <v>1450.3749846085932</v>
      </c>
      <c r="G370" s="190">
        <f>INPUT!H36</f>
        <v>2</v>
      </c>
      <c r="H370" s="190">
        <f>INPUT!I36</f>
        <v>500</v>
      </c>
      <c r="I370" s="190">
        <f>INPUT!K36</f>
        <v>1936.3312351792665</v>
      </c>
      <c r="J370" s="174">
        <f>IF(B370-D370&gt;=C370-E370,G370*H370*D370,I370*E370)</f>
        <v>22000</v>
      </c>
      <c r="K370" s="192">
        <f>MIN(INPUT!AQ36/MAX(ABS(B207),ABS(C207),INPUT!AO36),1)</f>
        <v>0.93421052631578949</v>
      </c>
      <c r="L370" s="193">
        <f>INPUT!O36</f>
        <v>12</v>
      </c>
      <c r="M370" s="192">
        <f>2*F370*L370/J370</f>
        <v>1.5822272559366473</v>
      </c>
      <c r="N370" s="194">
        <f>IF(INPUT!AQ36&gt;=INPUT!AO36,1,(12+M370*(3*K370-K370^3))/(12+2*M370))</f>
        <v>0.99867490759818722</v>
      </c>
    </row>
    <row r="371">
      <c r="A371" s="187">
        <f>A208</f>
        <v>101</v>
      </c>
      <c r="B371" s="188">
        <f>INPUT!AT37</f>
        <v>1472.3749846085932</v>
      </c>
      <c r="C371" s="188">
        <f>INPUT!AU37</f>
        <v>1361.6250153914068</v>
      </c>
      <c r="D371" s="188">
        <f>INPUT!J37</f>
        <v>22</v>
      </c>
      <c r="E371" s="188">
        <f>INPUT!L37</f>
        <v>12</v>
      </c>
      <c r="F371" s="189">
        <f>MAX(B371-D371,C371-E371)</f>
        <v>1450.3749846085932</v>
      </c>
      <c r="G371" s="190">
        <f>INPUT!H37</f>
        <v>2</v>
      </c>
      <c r="H371" s="190">
        <f>INPUT!I37</f>
        <v>500</v>
      </c>
      <c r="I371" s="190">
        <f>INPUT!K37</f>
        <v>1936.3312351792665</v>
      </c>
      <c r="J371" s="174">
        <f>IF(B371-D371&gt;=C371-E371,G371*H371*D371,I371*E371)</f>
        <v>22000</v>
      </c>
      <c r="K371" s="192">
        <f>MIN(INPUT!AQ37/MAX(ABS(B208),ABS(C208),INPUT!AO37),1)</f>
        <v>0.93421052631578949</v>
      </c>
      <c r="L371" s="193">
        <f>INPUT!O37</f>
        <v>12</v>
      </c>
      <c r="M371" s="192">
        <f>2*F371*L371/J371</f>
        <v>1.5822272559366473</v>
      </c>
      <c r="N371" s="194">
        <f>IF(INPUT!AQ37&gt;=INPUT!AO37,1,(12+M371*(3*K371-K371^3))/(12+2*M371))</f>
        <v>0.99867490759818722</v>
      </c>
    </row>
    <row r="372">
      <c r="A372" s="187">
        <f>A209</f>
        <v>101</v>
      </c>
      <c r="B372" s="188">
        <f>INPUT!AT38</f>
        <v>1472.3749846085932</v>
      </c>
      <c r="C372" s="188">
        <f>INPUT!AU38</f>
        <v>1361.6250153914068</v>
      </c>
      <c r="D372" s="188">
        <f>INPUT!J38</f>
        <v>22</v>
      </c>
      <c r="E372" s="188">
        <f>INPUT!L38</f>
        <v>12</v>
      </c>
      <c r="F372" s="189">
        <f>MAX(B372-D372,C372-E372)</f>
        <v>1450.3749846085932</v>
      </c>
      <c r="G372" s="190">
        <f>INPUT!H38</f>
        <v>2</v>
      </c>
      <c r="H372" s="190">
        <f>INPUT!I38</f>
        <v>500</v>
      </c>
      <c r="I372" s="190">
        <f>INPUT!K38</f>
        <v>1936.3312351792665</v>
      </c>
      <c r="J372" s="174">
        <f>IF(B372-D372&gt;=C372-E372,G372*H372*D372,I372*E372)</f>
        <v>22000</v>
      </c>
      <c r="K372" s="192">
        <f>MIN(INPUT!AQ38/MAX(ABS(B209),ABS(C209),INPUT!AO38),1)</f>
        <v>0.93421052631578949</v>
      </c>
      <c r="L372" s="193">
        <f>INPUT!O38</f>
        <v>12</v>
      </c>
      <c r="M372" s="192">
        <f>2*F372*L372/J372</f>
        <v>1.5822272559366473</v>
      </c>
      <c r="N372" s="194">
        <f>IF(INPUT!AQ38&gt;=INPUT!AO38,1,(12+M372*(3*K372-K372^3))/(12+2*M372))</f>
        <v>0.99867490759818722</v>
      </c>
    </row>
    <row r="373">
      <c r="A373" s="187">
        <f>A210</f>
        <v>101</v>
      </c>
      <c r="B373" s="188">
        <f>INPUT!AT39</f>
        <v>1472.3749846085932</v>
      </c>
      <c r="C373" s="188">
        <f>INPUT!AU39</f>
        <v>1361.6250153914068</v>
      </c>
      <c r="D373" s="188">
        <f>INPUT!J39</f>
        <v>22</v>
      </c>
      <c r="E373" s="188">
        <f>INPUT!L39</f>
        <v>12</v>
      </c>
      <c r="F373" s="189">
        <f>MAX(B373-D373,C373-E373)</f>
        <v>1450.3749846085932</v>
      </c>
      <c r="G373" s="190">
        <f>INPUT!H39</f>
        <v>2</v>
      </c>
      <c r="H373" s="190">
        <f>INPUT!I39</f>
        <v>500</v>
      </c>
      <c r="I373" s="190">
        <f>INPUT!K39</f>
        <v>1936.3312351792665</v>
      </c>
      <c r="J373" s="174">
        <f>IF(B373-D373&gt;=C373-E373,G373*H373*D373,I373*E373)</f>
        <v>22000</v>
      </c>
      <c r="K373" s="192">
        <f>MIN(INPUT!AQ39/MAX(ABS(B210),ABS(C210),INPUT!AO39),1)</f>
        <v>0.93421052631578949</v>
      </c>
      <c r="L373" s="193">
        <f>INPUT!O39</f>
        <v>12</v>
      </c>
      <c r="M373" s="192">
        <f>2*F373*L373/J373</f>
        <v>1.5822272559366473</v>
      </c>
      <c r="N373" s="194">
        <f>IF(INPUT!AQ39&gt;=INPUT!AO39,1,(12+M373*(3*K373-K373^3))/(12+2*M373))</f>
        <v>0.99867490759818722</v>
      </c>
    </row>
    <row r="374">
      <c r="A374" s="187">
        <f>A211</f>
        <v>101</v>
      </c>
      <c r="B374" s="188">
        <f>INPUT!AT40</f>
        <v>1472.3749846085932</v>
      </c>
      <c r="C374" s="188">
        <f>INPUT!AU40</f>
        <v>1361.6250153914068</v>
      </c>
      <c r="D374" s="188">
        <f>INPUT!J40</f>
        <v>22</v>
      </c>
      <c r="E374" s="188">
        <f>INPUT!L40</f>
        <v>12</v>
      </c>
      <c r="F374" s="189">
        <f>MAX(B374-D374,C374-E374)</f>
        <v>1450.3749846085932</v>
      </c>
      <c r="G374" s="190">
        <f>INPUT!H40</f>
        <v>2</v>
      </c>
      <c r="H374" s="190">
        <f>INPUT!I40</f>
        <v>500</v>
      </c>
      <c r="I374" s="190">
        <f>INPUT!K40</f>
        <v>1936.3312351792665</v>
      </c>
      <c r="J374" s="174">
        <f>IF(B374-D374&gt;=C374-E374,G374*H374*D374,I374*E374)</f>
        <v>22000</v>
      </c>
      <c r="K374" s="192">
        <f>MIN(INPUT!AQ40/MAX(ABS(B211),ABS(C211),INPUT!AO40),1)</f>
        <v>0.93421052631578949</v>
      </c>
      <c r="L374" s="193">
        <f>INPUT!O40</f>
        <v>12</v>
      </c>
      <c r="M374" s="192">
        <f>2*F374*L374/J374</f>
        <v>1.5822272559366473</v>
      </c>
      <c r="N374" s="194">
        <f>IF(INPUT!AQ40&gt;=INPUT!AO40,1,(12+M374*(3*K374-K374^3))/(12+2*M374))</f>
        <v>0.99867490759818722</v>
      </c>
    </row>
    <row r="375">
      <c r="A375" s="187">
        <f>A212</f>
        <v>101</v>
      </c>
      <c r="B375" s="188">
        <f>INPUT!AT41</f>
        <v>1472.3749846085932</v>
      </c>
      <c r="C375" s="188">
        <f>INPUT!AU41</f>
        <v>1361.6250153914068</v>
      </c>
      <c r="D375" s="188">
        <f>INPUT!J41</f>
        <v>22</v>
      </c>
      <c r="E375" s="188">
        <f>INPUT!L41</f>
        <v>12</v>
      </c>
      <c r="F375" s="189">
        <f>MAX(B375-D375,C375-E375)</f>
        <v>1450.3749846085932</v>
      </c>
      <c r="G375" s="190">
        <f>INPUT!H41</f>
        <v>2</v>
      </c>
      <c r="H375" s="190">
        <f>INPUT!I41</f>
        <v>500</v>
      </c>
      <c r="I375" s="190">
        <f>INPUT!K41</f>
        <v>1936.3312351792665</v>
      </c>
      <c r="J375" s="174">
        <f>IF(B375-D375&gt;=C375-E375,G375*H375*D375,I375*E375)</f>
        <v>22000</v>
      </c>
      <c r="K375" s="192">
        <f>MIN(INPUT!AQ41/MAX(ABS(B212),ABS(C212),INPUT!AO41),1)</f>
        <v>0.93421052631578949</v>
      </c>
      <c r="L375" s="193">
        <f>INPUT!O41</f>
        <v>12</v>
      </c>
      <c r="M375" s="192">
        <f>2*F375*L375/J375</f>
        <v>1.5822272559366473</v>
      </c>
      <c r="N375" s="194">
        <f>IF(INPUT!AQ41&gt;=INPUT!AO41,1,(12+M375*(3*K375-K375^3))/(12+2*M375))</f>
        <v>0.99867490759818722</v>
      </c>
    </row>
    <row r="376">
      <c r="A376" s="187">
        <f>A213</f>
        <v>101</v>
      </c>
      <c r="B376" s="188">
        <f>INPUT!AT42</f>
        <v>1472.3749846085932</v>
      </c>
      <c r="C376" s="188">
        <f>INPUT!AU42</f>
        <v>1361.6250153914068</v>
      </c>
      <c r="D376" s="188">
        <f>INPUT!J42</f>
        <v>22</v>
      </c>
      <c r="E376" s="188">
        <f>INPUT!L42</f>
        <v>12</v>
      </c>
      <c r="F376" s="189">
        <f>MAX(B376-D376,C376-E376)</f>
        <v>1450.3749846085932</v>
      </c>
      <c r="G376" s="190">
        <f>INPUT!H42</f>
        <v>2</v>
      </c>
      <c r="H376" s="190">
        <f>INPUT!I42</f>
        <v>500</v>
      </c>
      <c r="I376" s="190">
        <f>INPUT!K42</f>
        <v>1936.3312351792665</v>
      </c>
      <c r="J376" s="174">
        <f>IF(B376-D376&gt;=C376-E376,G376*H376*D376,I376*E376)</f>
        <v>22000</v>
      </c>
      <c r="K376" s="192">
        <f>MIN(INPUT!AQ42/MAX(ABS(B213),ABS(C213),INPUT!AO42),1)</f>
        <v>0.93421052631578949</v>
      </c>
      <c r="L376" s="193">
        <f>INPUT!O42</f>
        <v>12</v>
      </c>
      <c r="M376" s="192">
        <f>2*F376*L376/J376</f>
        <v>1.5822272559366473</v>
      </c>
      <c r="N376" s="194">
        <f>IF(INPUT!AQ42&gt;=INPUT!AO42,1,(12+M376*(3*K376-K376^3))/(12+2*M376))</f>
        <v>0.99867490759818722</v>
      </c>
    </row>
    <row r="377">
      <c r="A377" s="187">
        <f>A214</f>
        <v>101</v>
      </c>
      <c r="B377" s="188">
        <f>INPUT!AT43</f>
        <v>1472.3749846085932</v>
      </c>
      <c r="C377" s="188">
        <f>INPUT!AU43</f>
        <v>1361.6250153914068</v>
      </c>
      <c r="D377" s="188">
        <f>INPUT!J43</f>
        <v>22</v>
      </c>
      <c r="E377" s="188">
        <f>INPUT!L43</f>
        <v>12</v>
      </c>
      <c r="F377" s="189">
        <f>MAX(B377-D377,C377-E377)</f>
        <v>1450.3749846085932</v>
      </c>
      <c r="G377" s="190">
        <f>INPUT!H43</f>
        <v>2</v>
      </c>
      <c r="H377" s="190">
        <f>INPUT!I43</f>
        <v>500</v>
      </c>
      <c r="I377" s="190">
        <f>INPUT!K43</f>
        <v>1936.3312351792665</v>
      </c>
      <c r="J377" s="174">
        <f>IF(B377-D377&gt;=C377-E377,G377*H377*D377,I377*E377)</f>
        <v>22000</v>
      </c>
      <c r="K377" s="192">
        <f>MIN(INPUT!AQ43/MAX(ABS(B214),ABS(C214),INPUT!AO43),1)</f>
        <v>0.93421052631578949</v>
      </c>
      <c r="L377" s="193">
        <f>INPUT!O43</f>
        <v>12</v>
      </c>
      <c r="M377" s="192">
        <f>2*F377*L377/J377</f>
        <v>1.5822272559366473</v>
      </c>
      <c r="N377" s="194">
        <f>IF(INPUT!AQ43&gt;=INPUT!AO43,1,(12+M377*(3*K377-K377^3))/(12+2*M377))</f>
        <v>0.99867490759818722</v>
      </c>
    </row>
    <row r="378">
      <c r="A378" s="187">
        <f>A215</f>
        <v>101</v>
      </c>
      <c r="B378" s="188">
        <f>INPUT!AT44</f>
        <v>1472.3749846085932</v>
      </c>
      <c r="C378" s="188">
        <f>INPUT!AU44</f>
        <v>1361.6250153914068</v>
      </c>
      <c r="D378" s="188">
        <f>INPUT!J44</f>
        <v>22</v>
      </c>
      <c r="E378" s="188">
        <f>INPUT!L44</f>
        <v>12</v>
      </c>
      <c r="F378" s="189">
        <f>MAX(B378-D378,C378-E378)</f>
        <v>1450.3749846085932</v>
      </c>
      <c r="G378" s="190">
        <f>INPUT!H44</f>
        <v>2</v>
      </c>
      <c r="H378" s="190">
        <f>INPUT!I44</f>
        <v>500</v>
      </c>
      <c r="I378" s="190">
        <f>INPUT!K44</f>
        <v>1936.3312351792665</v>
      </c>
      <c r="J378" s="174">
        <f>IF(B378-D378&gt;=C378-E378,G378*H378*D378,I378*E378)</f>
        <v>22000</v>
      </c>
      <c r="K378" s="192">
        <f>MIN(INPUT!AQ44/MAX(ABS(B215),ABS(C215),INPUT!AO44),1)</f>
        <v>0.93421052631578949</v>
      </c>
      <c r="L378" s="193">
        <f>INPUT!O44</f>
        <v>12</v>
      </c>
      <c r="M378" s="192">
        <f>2*F378*L378/J378</f>
        <v>1.5822272559366473</v>
      </c>
      <c r="N378" s="194">
        <f>IF(INPUT!AQ44&gt;=INPUT!AO44,1,(12+M378*(3*K378-K378^3))/(12+2*M378))</f>
        <v>0.99867490759818722</v>
      </c>
    </row>
    <row r="379">
      <c r="A379" s="187">
        <f>A216</f>
        <v>101</v>
      </c>
      <c r="B379" s="188">
        <f>INPUT!AT45</f>
        <v>1472.3749846085932</v>
      </c>
      <c r="C379" s="188">
        <f>INPUT!AU45</f>
        <v>1361.6250153914068</v>
      </c>
      <c r="D379" s="188">
        <f>INPUT!J45</f>
        <v>22</v>
      </c>
      <c r="E379" s="188">
        <f>INPUT!L45</f>
        <v>12</v>
      </c>
      <c r="F379" s="189">
        <f>MAX(B379-D379,C379-E379)</f>
        <v>1450.3749846085932</v>
      </c>
      <c r="G379" s="190">
        <f>INPUT!H45</f>
        <v>2</v>
      </c>
      <c r="H379" s="190">
        <f>INPUT!I45</f>
        <v>500</v>
      </c>
      <c r="I379" s="190">
        <f>INPUT!K45</f>
        <v>1936.3312351792665</v>
      </c>
      <c r="J379" s="174">
        <f>IF(B379-D379&gt;=C379-E379,G379*H379*D379,I379*E379)</f>
        <v>22000</v>
      </c>
      <c r="K379" s="192">
        <f>MIN(INPUT!AQ45/MAX(ABS(B216),ABS(C216),INPUT!AO45),1)</f>
        <v>0.93421052631578949</v>
      </c>
      <c r="L379" s="193">
        <f>INPUT!O45</f>
        <v>12</v>
      </c>
      <c r="M379" s="192">
        <f>2*F379*L379/J379</f>
        <v>1.5822272559366473</v>
      </c>
      <c r="N379" s="194">
        <f>IF(INPUT!AQ45&gt;=INPUT!AO45,1,(12+M379*(3*K379-K379^3))/(12+2*M379))</f>
        <v>0.99867490759818722</v>
      </c>
    </row>
    <row r="380">
      <c r="A380" s="187">
        <f>A217</f>
        <v>101</v>
      </c>
      <c r="B380" s="188">
        <f>INPUT!AT46</f>
        <v>1472.3749846085932</v>
      </c>
      <c r="C380" s="188">
        <f>INPUT!AU46</f>
        <v>1361.6250153914068</v>
      </c>
      <c r="D380" s="188">
        <f>INPUT!J46</f>
        <v>22</v>
      </c>
      <c r="E380" s="188">
        <f>INPUT!L46</f>
        <v>12</v>
      </c>
      <c r="F380" s="189">
        <f>MAX(B380-D380,C380-E380)</f>
        <v>1450.3749846085932</v>
      </c>
      <c r="G380" s="190">
        <f>INPUT!H46</f>
        <v>2</v>
      </c>
      <c r="H380" s="190">
        <f>INPUT!I46</f>
        <v>500</v>
      </c>
      <c r="I380" s="190">
        <f>INPUT!K46</f>
        <v>1936.3312351792665</v>
      </c>
      <c r="J380" s="174">
        <f>IF(B380-D380&gt;=C380-E380,G380*H380*D380,I380*E380)</f>
        <v>22000</v>
      </c>
      <c r="K380" s="192">
        <f>MIN(INPUT!AQ46/MAX(ABS(B217),ABS(C217),INPUT!AO46),1)</f>
        <v>0.93421052631578949</v>
      </c>
      <c r="L380" s="193">
        <f>INPUT!O46</f>
        <v>12</v>
      </c>
      <c r="M380" s="192">
        <f>2*F380*L380/J380</f>
        <v>1.5822272559366473</v>
      </c>
      <c r="N380" s="194">
        <f>IF(INPUT!AQ46&gt;=INPUT!AO46,1,(12+M380*(3*K380-K380^3))/(12+2*M380))</f>
        <v>0.99867490759818722</v>
      </c>
    </row>
    <row r="381">
      <c r="A381" s="187">
        <f>A218</f>
        <v>101</v>
      </c>
      <c r="B381" s="188">
        <f>INPUT!AT47</f>
        <v>1472.3749846085932</v>
      </c>
      <c r="C381" s="188">
        <f>INPUT!AU47</f>
        <v>1361.6250153914068</v>
      </c>
      <c r="D381" s="188">
        <f>INPUT!J47</f>
        <v>22</v>
      </c>
      <c r="E381" s="188">
        <f>INPUT!L47</f>
        <v>12</v>
      </c>
      <c r="F381" s="189">
        <f>MAX(B381-D381,C381-E381)</f>
        <v>1450.3749846085932</v>
      </c>
      <c r="G381" s="190">
        <f>INPUT!H47</f>
        <v>2</v>
      </c>
      <c r="H381" s="190">
        <f>INPUT!I47</f>
        <v>500</v>
      </c>
      <c r="I381" s="190">
        <f>INPUT!K47</f>
        <v>1936.3312351792665</v>
      </c>
      <c r="J381" s="174">
        <f>IF(B381-D381&gt;=C381-E381,G381*H381*D381,I381*E381)</f>
        <v>22000</v>
      </c>
      <c r="K381" s="192">
        <f>MIN(INPUT!AQ47/MAX(ABS(B218),ABS(C218),INPUT!AO47),1)</f>
        <v>0.93421052631578949</v>
      </c>
      <c r="L381" s="193">
        <f>INPUT!O47</f>
        <v>12</v>
      </c>
      <c r="M381" s="192">
        <f>2*F381*L381/J381</f>
        <v>1.5822272559366473</v>
      </c>
      <c r="N381" s="194">
        <f>IF(INPUT!AQ47&gt;=INPUT!AO47,1,(12+M381*(3*K381-K381^3))/(12+2*M381))</f>
        <v>0.99867490759818722</v>
      </c>
    </row>
    <row r="382">
      <c r="A382" s="187">
        <f>A219</f>
        <v>101</v>
      </c>
      <c r="B382" s="188">
        <f>INPUT!AT48</f>
        <v>1472.3749846085932</v>
      </c>
      <c r="C382" s="188">
        <f>INPUT!AU48</f>
        <v>1361.6250153914068</v>
      </c>
      <c r="D382" s="188">
        <f>INPUT!J48</f>
        <v>22</v>
      </c>
      <c r="E382" s="188">
        <f>INPUT!L48</f>
        <v>12</v>
      </c>
      <c r="F382" s="189">
        <f>MAX(B382-D382,C382-E382)</f>
        <v>1450.3749846085932</v>
      </c>
      <c r="G382" s="190">
        <f>INPUT!H48</f>
        <v>2</v>
      </c>
      <c r="H382" s="190">
        <f>INPUT!I48</f>
        <v>500</v>
      </c>
      <c r="I382" s="190">
        <f>INPUT!K48</f>
        <v>1936.3312351792665</v>
      </c>
      <c r="J382" s="174">
        <f>IF(B382-D382&gt;=C382-E382,G382*H382*D382,I382*E382)</f>
        <v>22000</v>
      </c>
      <c r="K382" s="192">
        <f>MIN(INPUT!AQ48/MAX(ABS(B219),ABS(C219),INPUT!AO48),1)</f>
        <v>0.93421052631578949</v>
      </c>
      <c r="L382" s="193">
        <f>INPUT!O48</f>
        <v>12</v>
      </c>
      <c r="M382" s="192">
        <f>2*F382*L382/J382</f>
        <v>1.5822272559366473</v>
      </c>
      <c r="N382" s="194">
        <f>IF(INPUT!AQ48&gt;=INPUT!AO48,1,(12+M382*(3*K382-K382^3))/(12+2*M382))</f>
        <v>0.99867490759818722</v>
      </c>
    </row>
    <row r="383">
      <c r="A383" s="187">
        <f>A220</f>
        <v>101</v>
      </c>
      <c r="B383" s="188">
        <f>INPUT!AT49</f>
        <v>1472.3749846085932</v>
      </c>
      <c r="C383" s="188">
        <f>INPUT!AU49</f>
        <v>1361.6250153914068</v>
      </c>
      <c r="D383" s="188">
        <f>INPUT!J49</f>
        <v>22</v>
      </c>
      <c r="E383" s="188">
        <f>INPUT!L49</f>
        <v>12</v>
      </c>
      <c r="F383" s="189">
        <f>MAX(B383-D383,C383-E383)</f>
        <v>1450.3749846085932</v>
      </c>
      <c r="G383" s="190">
        <f>INPUT!H49</f>
        <v>2</v>
      </c>
      <c r="H383" s="190">
        <f>INPUT!I49</f>
        <v>500</v>
      </c>
      <c r="I383" s="190">
        <f>INPUT!K49</f>
        <v>1936.3312351792665</v>
      </c>
      <c r="J383" s="174">
        <f>IF(B383-D383&gt;=C383-E383,G383*H383*D383,I383*E383)</f>
        <v>22000</v>
      </c>
      <c r="K383" s="192">
        <f>MIN(INPUT!AQ49/MAX(ABS(B220),ABS(C220),INPUT!AO49),1)</f>
        <v>0.93421052631578949</v>
      </c>
      <c r="L383" s="193">
        <f>INPUT!O49</f>
        <v>12</v>
      </c>
      <c r="M383" s="192">
        <f>2*F383*L383/J383</f>
        <v>1.5822272559366473</v>
      </c>
      <c r="N383" s="194">
        <f>IF(INPUT!AQ49&gt;=INPUT!AO49,1,(12+M383*(3*K383-K383^3))/(12+2*M383))</f>
        <v>0.99867490759818722</v>
      </c>
    </row>
    <row r="384">
      <c r="A384" s="187">
        <f>A221</f>
        <v>101</v>
      </c>
      <c r="B384" s="188">
        <f>INPUT!AT50</f>
        <v>1472.3749846085932</v>
      </c>
      <c r="C384" s="188">
        <f>INPUT!AU50</f>
        <v>1361.6250153914068</v>
      </c>
      <c r="D384" s="188">
        <f>INPUT!J50</f>
        <v>22</v>
      </c>
      <c r="E384" s="188">
        <f>INPUT!L50</f>
        <v>12</v>
      </c>
      <c r="F384" s="189">
        <f>MAX(B384-D384,C384-E384)</f>
        <v>1450.3749846085932</v>
      </c>
      <c r="G384" s="190">
        <f>INPUT!H50</f>
        <v>2</v>
      </c>
      <c r="H384" s="190">
        <f>INPUT!I50</f>
        <v>500</v>
      </c>
      <c r="I384" s="190">
        <f>INPUT!K50</f>
        <v>1936.3312351792665</v>
      </c>
      <c r="J384" s="174">
        <f>IF(B384-D384&gt;=C384-E384,G384*H384*D384,I384*E384)</f>
        <v>22000</v>
      </c>
      <c r="K384" s="192">
        <f>MIN(INPUT!AQ50/MAX(ABS(B221),ABS(C221),INPUT!AO50),1)</f>
        <v>0.93421052631578949</v>
      </c>
      <c r="L384" s="193">
        <f>INPUT!O50</f>
        <v>12</v>
      </c>
      <c r="M384" s="192">
        <f>2*F384*L384/J384</f>
        <v>1.5822272559366473</v>
      </c>
      <c r="N384" s="194">
        <f>IF(INPUT!AQ50&gt;=INPUT!AO50,1,(12+M384*(3*K384-K384^3))/(12+2*M384))</f>
        <v>0.99867490759818722</v>
      </c>
    </row>
    <row r="385">
      <c r="A385" s="187">
        <f>A222</f>
        <v>101</v>
      </c>
      <c r="B385" s="188">
        <f>INPUT!AT51</f>
        <v>1472.3749846085932</v>
      </c>
      <c r="C385" s="188">
        <f>INPUT!AU51</f>
        <v>1361.6250153914068</v>
      </c>
      <c r="D385" s="188">
        <f>INPUT!J51</f>
        <v>22</v>
      </c>
      <c r="E385" s="188">
        <f>INPUT!L51</f>
        <v>12</v>
      </c>
      <c r="F385" s="189">
        <f>MAX(B385-D385,C385-E385)</f>
        <v>1450.3749846085932</v>
      </c>
      <c r="G385" s="190">
        <f>INPUT!H51</f>
        <v>2</v>
      </c>
      <c r="H385" s="190">
        <f>INPUT!I51</f>
        <v>500</v>
      </c>
      <c r="I385" s="190">
        <f>INPUT!K51</f>
        <v>1936.3312351792665</v>
      </c>
      <c r="J385" s="174">
        <f>IF(B385-D385&gt;=C385-E385,G385*H385*D385,I385*E385)</f>
        <v>22000</v>
      </c>
      <c r="K385" s="192">
        <f>MIN(INPUT!AQ51/MAX(ABS(B222),ABS(C222),INPUT!AO51),1)</f>
        <v>0.93421052631578949</v>
      </c>
      <c r="L385" s="193">
        <f>INPUT!O51</f>
        <v>12</v>
      </c>
      <c r="M385" s="192">
        <f>2*F385*L385/J385</f>
        <v>1.5822272559366473</v>
      </c>
      <c r="N385" s="194">
        <f>IF(INPUT!AQ51&gt;=INPUT!AO51,1,(12+M385*(3*K385-K385^3))/(12+2*M385))</f>
        <v>0.99867490759818722</v>
      </c>
    </row>
    <row r="386">
      <c r="A386" s="187">
        <f>A223</f>
        <v>101</v>
      </c>
      <c r="B386" s="188">
        <f>INPUT!AT52</f>
        <v>1472.3749846085932</v>
      </c>
      <c r="C386" s="188">
        <f>INPUT!AU52</f>
        <v>1361.6250153914068</v>
      </c>
      <c r="D386" s="188">
        <f>INPUT!J52</f>
        <v>22</v>
      </c>
      <c r="E386" s="188">
        <f>INPUT!L52</f>
        <v>12</v>
      </c>
      <c r="F386" s="189">
        <f>MAX(B386-D386,C386-E386)</f>
        <v>1450.3749846085932</v>
      </c>
      <c r="G386" s="190">
        <f>INPUT!H52</f>
        <v>2</v>
      </c>
      <c r="H386" s="190">
        <f>INPUT!I52</f>
        <v>500</v>
      </c>
      <c r="I386" s="190">
        <f>INPUT!K52</f>
        <v>1936.3312351792665</v>
      </c>
      <c r="J386" s="174">
        <f>IF(B386-D386&gt;=C386-E386,G386*H386*D386,I386*E386)</f>
        <v>22000</v>
      </c>
      <c r="K386" s="192">
        <f>MIN(INPUT!AQ52/MAX(ABS(B223),ABS(C223),INPUT!AO52),1)</f>
        <v>0.93421052631578949</v>
      </c>
      <c r="L386" s="193">
        <f>INPUT!O52</f>
        <v>12</v>
      </c>
      <c r="M386" s="192">
        <f>2*F386*L386/J386</f>
        <v>1.5822272559366473</v>
      </c>
      <c r="N386" s="194">
        <f>IF(INPUT!AQ52&gt;=INPUT!AO52,1,(12+M386*(3*K386-K386^3))/(12+2*M386))</f>
        <v>0.99867490759818722</v>
      </c>
    </row>
    <row r="387">
      <c r="A387" s="187">
        <f>A224</f>
        <v>101</v>
      </c>
      <c r="B387" s="188">
        <f>INPUT!AT53</f>
        <v>1472.3749846085932</v>
      </c>
      <c r="C387" s="188">
        <f>INPUT!AU53</f>
        <v>1361.6250153914068</v>
      </c>
      <c r="D387" s="188">
        <f>INPUT!J53</f>
        <v>22</v>
      </c>
      <c r="E387" s="188">
        <f>INPUT!L53</f>
        <v>12</v>
      </c>
      <c r="F387" s="189">
        <f>MAX(B387-D387,C387-E387)</f>
        <v>1450.3749846085932</v>
      </c>
      <c r="G387" s="190">
        <f>INPUT!H53</f>
        <v>2</v>
      </c>
      <c r="H387" s="190">
        <f>INPUT!I53</f>
        <v>500</v>
      </c>
      <c r="I387" s="190">
        <f>INPUT!K53</f>
        <v>1936.3312351792665</v>
      </c>
      <c r="J387" s="174">
        <f>IF(B387-D387&gt;=C387-E387,G387*H387*D387,I387*E387)</f>
        <v>22000</v>
      </c>
      <c r="K387" s="192">
        <f>MIN(INPUT!AQ53/MAX(ABS(B224),ABS(C224),INPUT!AO53),1)</f>
        <v>0.93421052631578949</v>
      </c>
      <c r="L387" s="193">
        <f>INPUT!O53</f>
        <v>12</v>
      </c>
      <c r="M387" s="192">
        <f>2*F387*L387/J387</f>
        <v>1.5822272559366473</v>
      </c>
      <c r="N387" s="194">
        <f>IF(INPUT!AQ53&gt;=INPUT!AO53,1,(12+M387*(3*K387-K387^3))/(12+2*M387))</f>
        <v>0.99867490759818722</v>
      </c>
    </row>
    <row r="388">
      <c r="A388" s="187">
        <f>A225</f>
        <v>101</v>
      </c>
      <c r="B388" s="188">
        <f>INPUT!AT54</f>
        <v>1472.3749846085932</v>
      </c>
      <c r="C388" s="188">
        <f>INPUT!AU54</f>
        <v>1361.6250153914068</v>
      </c>
      <c r="D388" s="188">
        <f>INPUT!J54</f>
        <v>22</v>
      </c>
      <c r="E388" s="188">
        <f>INPUT!L54</f>
        <v>12</v>
      </c>
      <c r="F388" s="189">
        <f>MAX(B388-D388,C388-E388)</f>
        <v>1450.3749846085932</v>
      </c>
      <c r="G388" s="190">
        <f>INPUT!H54</f>
        <v>2</v>
      </c>
      <c r="H388" s="190">
        <f>INPUT!I54</f>
        <v>500</v>
      </c>
      <c r="I388" s="190">
        <f>INPUT!K54</f>
        <v>1936.3312351792665</v>
      </c>
      <c r="J388" s="174">
        <f>IF(B388-D388&gt;=C388-E388,G388*H388*D388,I388*E388)</f>
        <v>22000</v>
      </c>
      <c r="K388" s="192">
        <f>MIN(INPUT!AQ54/MAX(ABS(B225),ABS(C225),INPUT!AO54),1)</f>
        <v>0.93421052631578949</v>
      </c>
      <c r="L388" s="193">
        <f>INPUT!O54</f>
        <v>12</v>
      </c>
      <c r="M388" s="192">
        <f>2*F388*L388/J388</f>
        <v>1.5822272559366473</v>
      </c>
      <c r="N388" s="194">
        <f>IF(INPUT!AQ54&gt;=INPUT!AO54,1,(12+M388*(3*K388-K388^3))/(12+2*M388))</f>
        <v>0.99867490759818722</v>
      </c>
    </row>
    <row r="389">
      <c r="A389" s="187">
        <f>A226</f>
        <v>101</v>
      </c>
      <c r="B389" s="188">
        <f>INPUT!AT55</f>
        <v>1472.3749846085932</v>
      </c>
      <c r="C389" s="188">
        <f>INPUT!AU55</f>
        <v>1361.6250153914068</v>
      </c>
      <c r="D389" s="188">
        <f>INPUT!J55</f>
        <v>22</v>
      </c>
      <c r="E389" s="188">
        <f>INPUT!L55</f>
        <v>12</v>
      </c>
      <c r="F389" s="189">
        <f>MAX(B389-D389,C389-E389)</f>
        <v>1450.3749846085932</v>
      </c>
      <c r="G389" s="190">
        <f>INPUT!H55</f>
        <v>2</v>
      </c>
      <c r="H389" s="190">
        <f>INPUT!I55</f>
        <v>500</v>
      </c>
      <c r="I389" s="190">
        <f>INPUT!K55</f>
        <v>1936.3312351792665</v>
      </c>
      <c r="J389" s="174">
        <f>IF(B389-D389&gt;=C389-E389,G389*H389*D389,I389*E389)</f>
        <v>22000</v>
      </c>
      <c r="K389" s="192">
        <f>MIN(INPUT!AQ55/MAX(ABS(B226),ABS(C226),INPUT!AO55),1)</f>
        <v>0.93421052631578949</v>
      </c>
      <c r="L389" s="193">
        <f>INPUT!O55</f>
        <v>12</v>
      </c>
      <c r="M389" s="192">
        <f>2*F389*L389/J389</f>
        <v>1.5822272559366473</v>
      </c>
      <c r="N389" s="194">
        <f>IF(INPUT!AQ55&gt;=INPUT!AO55,1,(12+M389*(3*K389-K389^3))/(12+2*M389))</f>
        <v>0.99867490759818722</v>
      </c>
    </row>
    <row r="390">
      <c r="A390" s="187">
        <f>A227</f>
        <v>101</v>
      </c>
      <c r="B390" s="188">
        <f>INPUT!AT56</f>
        <v>1472.3749846085932</v>
      </c>
      <c r="C390" s="188">
        <f>INPUT!AU56</f>
        <v>1361.6250153914068</v>
      </c>
      <c r="D390" s="188">
        <f>INPUT!J56</f>
        <v>22</v>
      </c>
      <c r="E390" s="188">
        <f>INPUT!L56</f>
        <v>12</v>
      </c>
      <c r="F390" s="189">
        <f>MAX(B390-D390,C390-E390)</f>
        <v>1450.3749846085932</v>
      </c>
      <c r="G390" s="190">
        <f>INPUT!H56</f>
        <v>2</v>
      </c>
      <c r="H390" s="190">
        <f>INPUT!I56</f>
        <v>500</v>
      </c>
      <c r="I390" s="190">
        <f>INPUT!K56</f>
        <v>1936.3312351792665</v>
      </c>
      <c r="J390" s="174">
        <f>IF(B390-D390&gt;=C390-E390,G390*H390*D390,I390*E390)</f>
        <v>22000</v>
      </c>
      <c r="K390" s="192">
        <f>MIN(INPUT!AQ56/MAX(ABS(B227),ABS(C227),INPUT!AO56),1)</f>
        <v>0.93421052631578949</v>
      </c>
      <c r="L390" s="193">
        <f>INPUT!O56</f>
        <v>12</v>
      </c>
      <c r="M390" s="192">
        <f>2*F390*L390/J390</f>
        <v>1.5822272559366473</v>
      </c>
      <c r="N390" s="194">
        <f>IF(INPUT!AQ56&gt;=INPUT!AO56,1,(12+M390*(3*K390-K390^3))/(12+2*M390))</f>
        <v>0.99867490759818722</v>
      </c>
    </row>
    <row r="391">
      <c r="A391" s="187">
        <f>A228</f>
        <v>101</v>
      </c>
      <c r="B391" s="188">
        <f>INPUT!AT57</f>
        <v>1472.3749846085932</v>
      </c>
      <c r="C391" s="188">
        <f>INPUT!AU57</f>
        <v>1361.6250153914068</v>
      </c>
      <c r="D391" s="188">
        <f>INPUT!J57</f>
        <v>22</v>
      </c>
      <c r="E391" s="188">
        <f>INPUT!L57</f>
        <v>12</v>
      </c>
      <c r="F391" s="189">
        <f>MAX(B391-D391,C391-E391)</f>
        <v>1450.3749846085932</v>
      </c>
      <c r="G391" s="190">
        <f>INPUT!H57</f>
        <v>2</v>
      </c>
      <c r="H391" s="190">
        <f>INPUT!I57</f>
        <v>500</v>
      </c>
      <c r="I391" s="190">
        <f>INPUT!K57</f>
        <v>1936.3312351792665</v>
      </c>
      <c r="J391" s="174">
        <f>IF(B391-D391&gt;=C391-E391,G391*H391*D391,I391*E391)</f>
        <v>22000</v>
      </c>
      <c r="K391" s="192">
        <f>MIN(INPUT!AQ57/MAX(ABS(B228),ABS(C228),INPUT!AO57),1)</f>
        <v>0.93421052631578949</v>
      </c>
      <c r="L391" s="193">
        <f>INPUT!O57</f>
        <v>12</v>
      </c>
      <c r="M391" s="192">
        <f>2*F391*L391/J391</f>
        <v>1.5822272559366473</v>
      </c>
      <c r="N391" s="194">
        <f>IF(INPUT!AQ57&gt;=INPUT!AO57,1,(12+M391*(3*K391-K391^3))/(12+2*M391))</f>
        <v>0.99867490759818722</v>
      </c>
    </row>
    <row r="392">
      <c r="A392" s="187">
        <f>A229</f>
        <v>101</v>
      </c>
      <c r="B392" s="188">
        <f>INPUT!AT58</f>
        <v>1472.3749846085932</v>
      </c>
      <c r="C392" s="188">
        <f>INPUT!AU58</f>
        <v>1361.6250153914068</v>
      </c>
      <c r="D392" s="188">
        <f>INPUT!J58</f>
        <v>22</v>
      </c>
      <c r="E392" s="188">
        <f>INPUT!L58</f>
        <v>12</v>
      </c>
      <c r="F392" s="189">
        <f>MAX(B392-D392,C392-E392)</f>
        <v>1450.3749846085932</v>
      </c>
      <c r="G392" s="190">
        <f>INPUT!H58</f>
        <v>2</v>
      </c>
      <c r="H392" s="190">
        <f>INPUT!I58</f>
        <v>500</v>
      </c>
      <c r="I392" s="190">
        <f>INPUT!K58</f>
        <v>1936.3312351792665</v>
      </c>
      <c r="J392" s="174">
        <f>IF(B392-D392&gt;=C392-E392,G392*H392*D392,I392*E392)</f>
        <v>22000</v>
      </c>
      <c r="K392" s="192">
        <f>MIN(INPUT!AQ58/MAX(ABS(B229),ABS(C229),INPUT!AO58),1)</f>
        <v>0.93421052631578949</v>
      </c>
      <c r="L392" s="193">
        <f>INPUT!O58</f>
        <v>12</v>
      </c>
      <c r="M392" s="192">
        <f>2*F392*L392/J392</f>
        <v>1.5822272559366473</v>
      </c>
      <c r="N392" s="194">
        <f>IF(INPUT!AQ58&gt;=INPUT!AO58,1,(12+M392*(3*K392-K392^3))/(12+2*M392))</f>
        <v>0.99867490759818722</v>
      </c>
    </row>
    <row r="393">
      <c r="A393" s="187">
        <f>A230</f>
        <v>101</v>
      </c>
      <c r="B393" s="188">
        <f>INPUT!AT59</f>
        <v>1472.3749846085932</v>
      </c>
      <c r="C393" s="188">
        <f>INPUT!AU59</f>
        <v>1361.6250153914068</v>
      </c>
      <c r="D393" s="188">
        <f>INPUT!J59</f>
        <v>22</v>
      </c>
      <c r="E393" s="188">
        <f>INPUT!L59</f>
        <v>12</v>
      </c>
      <c r="F393" s="189">
        <f>MAX(B393-D393,C393-E393)</f>
        <v>1450.3749846085932</v>
      </c>
      <c r="G393" s="190">
        <f>INPUT!H59</f>
        <v>2</v>
      </c>
      <c r="H393" s="190">
        <f>INPUT!I59</f>
        <v>500</v>
      </c>
      <c r="I393" s="190">
        <f>INPUT!K59</f>
        <v>1936.3312351792665</v>
      </c>
      <c r="J393" s="174">
        <f>IF(B393-D393&gt;=C393-E393,G393*H393*D393,I393*E393)</f>
        <v>22000</v>
      </c>
      <c r="K393" s="192">
        <f>MIN(INPUT!AQ59/MAX(ABS(B230),ABS(C230),INPUT!AO59),1)</f>
        <v>0.93421052631578949</v>
      </c>
      <c r="L393" s="193">
        <f>INPUT!O59</f>
        <v>12</v>
      </c>
      <c r="M393" s="192">
        <f>2*F393*L393/J393</f>
        <v>1.5822272559366473</v>
      </c>
      <c r="N393" s="194">
        <f>IF(INPUT!AQ59&gt;=INPUT!AO59,1,(12+M393*(3*K393-K393^3))/(12+2*M393))</f>
        <v>0.99867490759818722</v>
      </c>
    </row>
    <row r="394">
      <c r="A394" s="187">
        <f>A231</f>
        <v>101</v>
      </c>
      <c r="B394" s="188">
        <f>INPUT!AT60</f>
        <v>1472.3749846085932</v>
      </c>
      <c r="C394" s="188">
        <f>INPUT!AU60</f>
        <v>1361.6250153914068</v>
      </c>
      <c r="D394" s="188">
        <f>INPUT!J60</f>
        <v>22</v>
      </c>
      <c r="E394" s="188">
        <f>INPUT!L60</f>
        <v>12</v>
      </c>
      <c r="F394" s="189">
        <f>MAX(B394-D394,C394-E394)</f>
        <v>1450.3749846085932</v>
      </c>
      <c r="G394" s="190">
        <f>INPUT!H60</f>
        <v>2</v>
      </c>
      <c r="H394" s="190">
        <f>INPUT!I60</f>
        <v>500</v>
      </c>
      <c r="I394" s="190">
        <f>INPUT!K60</f>
        <v>1936.3312351792665</v>
      </c>
      <c r="J394" s="174">
        <f>IF(B394-D394&gt;=C394-E394,G394*H394*D394,I394*E394)</f>
        <v>22000</v>
      </c>
      <c r="K394" s="192">
        <f>MIN(INPUT!AQ60/MAX(ABS(B231),ABS(C231),INPUT!AO60),1)</f>
        <v>0.93421052631578949</v>
      </c>
      <c r="L394" s="193">
        <f>INPUT!O60</f>
        <v>12</v>
      </c>
      <c r="M394" s="192">
        <f>2*F394*L394/J394</f>
        <v>1.5822272559366473</v>
      </c>
      <c r="N394" s="194">
        <f>IF(INPUT!AQ60&gt;=INPUT!AO60,1,(12+M394*(3*K394-K394^3))/(12+2*M394))</f>
        <v>0.99867490759818722</v>
      </c>
    </row>
    <row r="395">
      <c r="A395" s="187">
        <f>A232</f>
        <v>101</v>
      </c>
      <c r="B395" s="188">
        <f>INPUT!AT61</f>
        <v>1472.3749846085932</v>
      </c>
      <c r="C395" s="188">
        <f>INPUT!AU61</f>
        <v>1361.6250153914068</v>
      </c>
      <c r="D395" s="188">
        <f>INPUT!J61</f>
        <v>22</v>
      </c>
      <c r="E395" s="188">
        <f>INPUT!L61</f>
        <v>12</v>
      </c>
      <c r="F395" s="189">
        <f>MAX(B395-D395,C395-E395)</f>
        <v>1450.3749846085932</v>
      </c>
      <c r="G395" s="190">
        <f>INPUT!H61</f>
        <v>2</v>
      </c>
      <c r="H395" s="190">
        <f>INPUT!I61</f>
        <v>500</v>
      </c>
      <c r="I395" s="190">
        <f>INPUT!K61</f>
        <v>1936.3312351792665</v>
      </c>
      <c r="J395" s="174">
        <f>IF(B395-D395&gt;=C395-E395,G395*H395*D395,I395*E395)</f>
        <v>22000</v>
      </c>
      <c r="K395" s="192">
        <f>MIN(INPUT!AQ61/MAX(ABS(B232),ABS(C232),INPUT!AO61),1)</f>
        <v>0.93421052631578949</v>
      </c>
      <c r="L395" s="193">
        <f>INPUT!O61</f>
        <v>12</v>
      </c>
      <c r="M395" s="192">
        <f>2*F395*L395/J395</f>
        <v>1.5822272559366473</v>
      </c>
      <c r="N395" s="194">
        <f>IF(INPUT!AQ61&gt;=INPUT!AO61,1,(12+M395*(3*K395-K395^3))/(12+2*M395))</f>
        <v>0.99867490759818722</v>
      </c>
    </row>
    <row r="396">
      <c r="A396" s="187">
        <f>A233</f>
        <v>101</v>
      </c>
      <c r="B396" s="188">
        <f>INPUT!AT62</f>
        <v>1472.3749846085932</v>
      </c>
      <c r="C396" s="188">
        <f>INPUT!AU62</f>
        <v>1361.6250153914068</v>
      </c>
      <c r="D396" s="188">
        <f>INPUT!J62</f>
        <v>22</v>
      </c>
      <c r="E396" s="188">
        <f>INPUT!L62</f>
        <v>12</v>
      </c>
      <c r="F396" s="189">
        <f>MAX(B396-D396,C396-E396)</f>
        <v>1450.3749846085932</v>
      </c>
      <c r="G396" s="190">
        <f>INPUT!H62</f>
        <v>2</v>
      </c>
      <c r="H396" s="190">
        <f>INPUT!I62</f>
        <v>500</v>
      </c>
      <c r="I396" s="190">
        <f>INPUT!K62</f>
        <v>1936.3312351792665</v>
      </c>
      <c r="J396" s="174">
        <f>IF(B396-D396&gt;=C396-E396,G396*H396*D396,I396*E396)</f>
        <v>22000</v>
      </c>
      <c r="K396" s="192">
        <f>MIN(INPUT!AQ62/MAX(ABS(B233),ABS(C233),INPUT!AO62),1)</f>
        <v>0.93421052631578949</v>
      </c>
      <c r="L396" s="193">
        <f>INPUT!O62</f>
        <v>12</v>
      </c>
      <c r="M396" s="192">
        <f>2*F396*L396/J396</f>
        <v>1.5822272559366473</v>
      </c>
      <c r="N396" s="194">
        <f>IF(INPUT!AQ62&gt;=INPUT!AO62,1,(12+M396*(3*K396-K396^3))/(12+2*M396))</f>
        <v>0.99867490759818722</v>
      </c>
    </row>
    <row r="397">
      <c r="A397" s="187">
        <f>A234</f>
        <v>101</v>
      </c>
      <c r="B397" s="188">
        <f>INPUT!AT63</f>
        <v>1472.3749846085932</v>
      </c>
      <c r="C397" s="188">
        <f>INPUT!AU63</f>
        <v>1361.6250153914068</v>
      </c>
      <c r="D397" s="188">
        <f>INPUT!J63</f>
        <v>22</v>
      </c>
      <c r="E397" s="188">
        <f>INPUT!L63</f>
        <v>12</v>
      </c>
      <c r="F397" s="189">
        <f>MAX(B397-D397,C397-E397)</f>
        <v>1450.3749846085932</v>
      </c>
      <c r="G397" s="190">
        <f>INPUT!H63</f>
        <v>2</v>
      </c>
      <c r="H397" s="190">
        <f>INPUT!I63</f>
        <v>500</v>
      </c>
      <c r="I397" s="190">
        <f>INPUT!K63</f>
        <v>1936.3312351792665</v>
      </c>
      <c r="J397" s="174">
        <f>IF(B397-D397&gt;=C397-E397,G397*H397*D397,I397*E397)</f>
        <v>22000</v>
      </c>
      <c r="K397" s="192">
        <f>MIN(INPUT!AQ63/MAX(ABS(B234),ABS(C234),INPUT!AO63),1)</f>
        <v>0.93421052631578949</v>
      </c>
      <c r="L397" s="193">
        <f>INPUT!O63</f>
        <v>12</v>
      </c>
      <c r="M397" s="192">
        <f>2*F397*L397/J397</f>
        <v>1.5822272559366473</v>
      </c>
      <c r="N397" s="194">
        <f>IF(INPUT!AQ63&gt;=INPUT!AO63,1,(12+M397*(3*K397-K397^3))/(12+2*M397))</f>
        <v>0.99867490759818722</v>
      </c>
    </row>
    <row r="398">
      <c r="A398" s="187">
        <f>A235</f>
        <v>101</v>
      </c>
      <c r="B398" s="188">
        <f>INPUT!AT64</f>
        <v>1472.3749846085932</v>
      </c>
      <c r="C398" s="188">
        <f>INPUT!AU64</f>
        <v>1361.6250153914068</v>
      </c>
      <c r="D398" s="188">
        <f>INPUT!J64</f>
        <v>22</v>
      </c>
      <c r="E398" s="188">
        <f>INPUT!L64</f>
        <v>12</v>
      </c>
      <c r="F398" s="189">
        <f>MAX(B398-D398,C398-E398)</f>
        <v>1450.3749846085932</v>
      </c>
      <c r="G398" s="190">
        <f>INPUT!H64</f>
        <v>2</v>
      </c>
      <c r="H398" s="190">
        <f>INPUT!I64</f>
        <v>500</v>
      </c>
      <c r="I398" s="190">
        <f>INPUT!K64</f>
        <v>1936.3312351792665</v>
      </c>
      <c r="J398" s="174">
        <f>IF(B398-D398&gt;=C398-E398,G398*H398*D398,I398*E398)</f>
        <v>22000</v>
      </c>
      <c r="K398" s="192">
        <f>MIN(INPUT!AQ64/MAX(ABS(B235),ABS(C235),INPUT!AO64),1)</f>
        <v>0.93421052631578949</v>
      </c>
      <c r="L398" s="193">
        <f>INPUT!O64</f>
        <v>12</v>
      </c>
      <c r="M398" s="192">
        <f>2*F398*L398/J398</f>
        <v>1.5822272559366473</v>
      </c>
      <c r="N398" s="194">
        <f>IF(INPUT!AQ64&gt;=INPUT!AO64,1,(12+M398*(3*K398-K398^3))/(12+2*M398))</f>
        <v>0.99867490759818722</v>
      </c>
    </row>
    <row r="399">
      <c r="A399" s="187">
        <f>A236</f>
        <v>101</v>
      </c>
      <c r="B399" s="188">
        <f>INPUT!AT65</f>
        <v>1472.3749846085932</v>
      </c>
      <c r="C399" s="188">
        <f>INPUT!AU65</f>
        <v>1361.6250153914068</v>
      </c>
      <c r="D399" s="188">
        <f>INPUT!J65</f>
        <v>22</v>
      </c>
      <c r="E399" s="188">
        <f>INPUT!L65</f>
        <v>12</v>
      </c>
      <c r="F399" s="189">
        <f>MAX(B399-D399,C399-E399)</f>
        <v>1450.3749846085932</v>
      </c>
      <c r="G399" s="190">
        <f>INPUT!H65</f>
        <v>2</v>
      </c>
      <c r="H399" s="190">
        <f>INPUT!I65</f>
        <v>500</v>
      </c>
      <c r="I399" s="190">
        <f>INPUT!K65</f>
        <v>1936.3312351792665</v>
      </c>
      <c r="J399" s="174">
        <f>IF(B399-D399&gt;=C399-E399,G399*H399*D399,I399*E399)</f>
        <v>22000</v>
      </c>
      <c r="K399" s="192">
        <f>MIN(INPUT!AQ65/MAX(ABS(B236),ABS(C236),INPUT!AO65),1)</f>
        <v>0.93421052631578949</v>
      </c>
      <c r="L399" s="193">
        <f>INPUT!O65</f>
        <v>12</v>
      </c>
      <c r="M399" s="192">
        <f>2*F399*L399/J399</f>
        <v>1.5822272559366473</v>
      </c>
      <c r="N399" s="194">
        <f>IF(INPUT!AQ65&gt;=INPUT!AO65,1,(12+M399*(3*K399-K399^3))/(12+2*M399))</f>
        <v>0.99867490759818722</v>
      </c>
    </row>
    <row r="400">
      <c r="A400" s="187">
        <f>A237</f>
        <v>101</v>
      </c>
      <c r="B400" s="188">
        <f>INPUT!AT66</f>
        <v>1472.3749846085932</v>
      </c>
      <c r="C400" s="188">
        <f>INPUT!AU66</f>
        <v>1361.6250153914068</v>
      </c>
      <c r="D400" s="188">
        <f>INPUT!J66</f>
        <v>22</v>
      </c>
      <c r="E400" s="188">
        <f>INPUT!L66</f>
        <v>12</v>
      </c>
      <c r="F400" s="189">
        <f>MAX(B400-D400,C400-E400)</f>
        <v>1450.3749846085932</v>
      </c>
      <c r="G400" s="190">
        <f>INPUT!H66</f>
        <v>2</v>
      </c>
      <c r="H400" s="190">
        <f>INPUT!I66</f>
        <v>500</v>
      </c>
      <c r="I400" s="190">
        <f>INPUT!K66</f>
        <v>1936.3312351792665</v>
      </c>
      <c r="J400" s="174">
        <f>IF(B400-D400&gt;=C400-E400,G400*H400*D400,I400*E400)</f>
        <v>22000</v>
      </c>
      <c r="K400" s="192">
        <f>MIN(INPUT!AQ66/MAX(ABS(B237),ABS(C237),INPUT!AO66),1)</f>
        <v>0.93421052631578949</v>
      </c>
      <c r="L400" s="193">
        <f>INPUT!O66</f>
        <v>12</v>
      </c>
      <c r="M400" s="192">
        <f>2*F400*L400/J400</f>
        <v>1.5822272559366473</v>
      </c>
      <c r="N400" s="194">
        <f>IF(INPUT!AQ66&gt;=INPUT!AO66,1,(12+M400*(3*K400-K400^3))/(12+2*M400))</f>
        <v>0.99867490759818722</v>
      </c>
    </row>
    <row r="401">
      <c r="A401" s="187">
        <f>A238</f>
        <v>101</v>
      </c>
      <c r="B401" s="188">
        <f>INPUT!AT67</f>
        <v>1472.3749846085932</v>
      </c>
      <c r="C401" s="188">
        <f>INPUT!AU67</f>
        <v>1361.6250153914068</v>
      </c>
      <c r="D401" s="188">
        <f>INPUT!J67</f>
        <v>22</v>
      </c>
      <c r="E401" s="188">
        <f>INPUT!L67</f>
        <v>12</v>
      </c>
      <c r="F401" s="189">
        <f>MAX(B401-D401,C401-E401)</f>
        <v>1450.3749846085932</v>
      </c>
      <c r="G401" s="190">
        <f>INPUT!H67</f>
        <v>2</v>
      </c>
      <c r="H401" s="190">
        <f>INPUT!I67</f>
        <v>500</v>
      </c>
      <c r="I401" s="190">
        <f>INPUT!K67</f>
        <v>1936.3312351792665</v>
      </c>
      <c r="J401" s="174">
        <f>IF(B401-D401&gt;=C401-E401,G401*H401*D401,I401*E401)</f>
        <v>22000</v>
      </c>
      <c r="K401" s="192">
        <f>MIN(INPUT!AQ67/MAX(ABS(B238),ABS(C238),INPUT!AO67),1)</f>
        <v>0.93421052631578949</v>
      </c>
      <c r="L401" s="193">
        <f>INPUT!O67</f>
        <v>12</v>
      </c>
      <c r="M401" s="192">
        <f>2*F401*L401/J401</f>
        <v>1.5822272559366473</v>
      </c>
      <c r="N401" s="194">
        <f>IF(INPUT!AQ67&gt;=INPUT!AO67,1,(12+M401*(3*K401-K401^3))/(12+2*M401))</f>
        <v>0.99867490759818722</v>
      </c>
    </row>
    <row r="402">
      <c r="A402" s="187">
        <f>A239</f>
        <v>101</v>
      </c>
      <c r="B402" s="188">
        <f>INPUT!AT68</f>
        <v>1472.3749846085932</v>
      </c>
      <c r="C402" s="188">
        <f>INPUT!AU68</f>
        <v>1361.6250153914068</v>
      </c>
      <c r="D402" s="188">
        <f>INPUT!J68</f>
        <v>22</v>
      </c>
      <c r="E402" s="188">
        <f>INPUT!L68</f>
        <v>12</v>
      </c>
      <c r="F402" s="189">
        <f>MAX(B402-D402,C402-E402)</f>
        <v>1450.3749846085932</v>
      </c>
      <c r="G402" s="190">
        <f>INPUT!H68</f>
        <v>2</v>
      </c>
      <c r="H402" s="190">
        <f>INPUT!I68</f>
        <v>500</v>
      </c>
      <c r="I402" s="190">
        <f>INPUT!K68</f>
        <v>1936.3312351792665</v>
      </c>
      <c r="J402" s="174">
        <f>IF(B402-D402&gt;=C402-E402,G402*H402*D402,I402*E402)</f>
        <v>22000</v>
      </c>
      <c r="K402" s="192">
        <f>MIN(INPUT!AQ68/MAX(ABS(B239),ABS(C239),INPUT!AO68),1)</f>
        <v>0.93421052631578949</v>
      </c>
      <c r="L402" s="193">
        <f>INPUT!O68</f>
        <v>12</v>
      </c>
      <c r="M402" s="192">
        <f>2*F402*L402/J402</f>
        <v>1.5822272559366473</v>
      </c>
      <c r="N402" s="194">
        <f>IF(INPUT!AQ68&gt;=INPUT!AO68,1,(12+M402*(3*K402-K402^3))/(12+2*M402))</f>
        <v>0.99867490759818722</v>
      </c>
    </row>
    <row r="403">
      <c r="A403" s="187">
        <f>A240</f>
        <v>101</v>
      </c>
      <c r="B403" s="188">
        <f>INPUT!AT69</f>
        <v>1472.3749846085932</v>
      </c>
      <c r="C403" s="188">
        <f>INPUT!AU69</f>
        <v>1361.6250153914068</v>
      </c>
      <c r="D403" s="188">
        <f>INPUT!J69</f>
        <v>22</v>
      </c>
      <c r="E403" s="188">
        <f>INPUT!L69</f>
        <v>12</v>
      </c>
      <c r="F403" s="189">
        <f>MAX(B403-D403,C403-E403)</f>
        <v>1450.3749846085932</v>
      </c>
      <c r="G403" s="190">
        <f>INPUT!H69</f>
        <v>2</v>
      </c>
      <c r="H403" s="190">
        <f>INPUT!I69</f>
        <v>500</v>
      </c>
      <c r="I403" s="190">
        <f>INPUT!K69</f>
        <v>1936.3312351792665</v>
      </c>
      <c r="J403" s="174">
        <f>IF(B403-D403&gt;=C403-E403,G403*H403*D403,I403*E403)</f>
        <v>22000</v>
      </c>
      <c r="K403" s="192">
        <f>MIN(INPUT!AQ69/MAX(ABS(B240),ABS(C240),INPUT!AO69),1)</f>
        <v>0.93421052631578949</v>
      </c>
      <c r="L403" s="193">
        <f>INPUT!O69</f>
        <v>12</v>
      </c>
      <c r="M403" s="192">
        <f>2*F403*L403/J403</f>
        <v>1.5822272559366473</v>
      </c>
      <c r="N403" s="194">
        <f>IF(INPUT!AQ69&gt;=INPUT!AO69,1,(12+M403*(3*K403-K403^3))/(12+2*M403))</f>
        <v>0.99867490759818722</v>
      </c>
    </row>
    <row r="404">
      <c r="A404" s="187">
        <f>A241</f>
        <v>101</v>
      </c>
      <c r="B404" s="188">
        <f>INPUT!AT70</f>
        <v>1472.3749846085932</v>
      </c>
      <c r="C404" s="188">
        <f>INPUT!AU70</f>
        <v>1361.6250153914068</v>
      </c>
      <c r="D404" s="188">
        <f>INPUT!J70</f>
        <v>22</v>
      </c>
      <c r="E404" s="188">
        <f>INPUT!L70</f>
        <v>12</v>
      </c>
      <c r="F404" s="189">
        <f>MAX(B404-D404,C404-E404)</f>
        <v>1450.3749846085932</v>
      </c>
      <c r="G404" s="190">
        <f>INPUT!H70</f>
        <v>2</v>
      </c>
      <c r="H404" s="190">
        <f>INPUT!I70</f>
        <v>500</v>
      </c>
      <c r="I404" s="190">
        <f>INPUT!K70</f>
        <v>1936.3312351792665</v>
      </c>
      <c r="J404" s="174">
        <f>IF(B404-D404&gt;=C404-E404,G404*H404*D404,I404*E404)</f>
        <v>22000</v>
      </c>
      <c r="K404" s="192">
        <f>MIN(INPUT!AQ70/MAX(ABS(B241),ABS(C241),INPUT!AO70),1)</f>
        <v>0.93421052631578949</v>
      </c>
      <c r="L404" s="193">
        <f>INPUT!O70</f>
        <v>12</v>
      </c>
      <c r="M404" s="192">
        <f>2*F404*L404/J404</f>
        <v>1.5822272559366473</v>
      </c>
      <c r="N404" s="194">
        <f>IF(INPUT!AQ70&gt;=INPUT!AO70,1,(12+M404*(3*K404-K404^3))/(12+2*M404))</f>
        <v>0.99867490759818722</v>
      </c>
    </row>
    <row r="405">
      <c r="A405" s="187">
        <f>A242</f>
        <v>101</v>
      </c>
      <c r="B405" s="188">
        <f>INPUT!AT71</f>
        <v>1472.3749846085932</v>
      </c>
      <c r="C405" s="188">
        <f>INPUT!AU71</f>
        <v>1361.6250153914068</v>
      </c>
      <c r="D405" s="188">
        <f>INPUT!J71</f>
        <v>22</v>
      </c>
      <c r="E405" s="188">
        <f>INPUT!L71</f>
        <v>12</v>
      </c>
      <c r="F405" s="189">
        <f>MAX(B405-D405,C405-E405)</f>
        <v>1450.3749846085932</v>
      </c>
      <c r="G405" s="190">
        <f>INPUT!H71</f>
        <v>2</v>
      </c>
      <c r="H405" s="190">
        <f>INPUT!I71</f>
        <v>500</v>
      </c>
      <c r="I405" s="190">
        <f>INPUT!K71</f>
        <v>1936.3312351792665</v>
      </c>
      <c r="J405" s="174">
        <f>IF(B405-D405&gt;=C405-E405,G405*H405*D405,I405*E405)</f>
        <v>22000</v>
      </c>
      <c r="K405" s="192">
        <f>MIN(INPUT!AQ71/MAX(ABS(B242),ABS(C242),INPUT!AO71),1)</f>
        <v>0.93421052631578949</v>
      </c>
      <c r="L405" s="193">
        <f>INPUT!O71</f>
        <v>12</v>
      </c>
      <c r="M405" s="192">
        <f>2*F405*L405/J405</f>
        <v>1.5822272559366473</v>
      </c>
      <c r="N405" s="194">
        <f>IF(INPUT!AQ71&gt;=INPUT!AO71,1,(12+M405*(3*K405-K405^3))/(12+2*M405))</f>
        <v>0.99867490759818722</v>
      </c>
    </row>
    <row r="406">
      <c r="A406" s="187">
        <f>A243</f>
        <v>101</v>
      </c>
      <c r="B406" s="188">
        <f>INPUT!AT72</f>
        <v>1472.3749846085932</v>
      </c>
      <c r="C406" s="188">
        <f>INPUT!AU72</f>
        <v>1361.6250153914068</v>
      </c>
      <c r="D406" s="188">
        <f>INPUT!J72</f>
        <v>22</v>
      </c>
      <c r="E406" s="188">
        <f>INPUT!L72</f>
        <v>12</v>
      </c>
      <c r="F406" s="189">
        <f>MAX(B406-D406,C406-E406)</f>
        <v>1450.3749846085932</v>
      </c>
      <c r="G406" s="190">
        <f>INPUT!H72</f>
        <v>2</v>
      </c>
      <c r="H406" s="190">
        <f>INPUT!I72</f>
        <v>500</v>
      </c>
      <c r="I406" s="190">
        <f>INPUT!K72</f>
        <v>1936.3312351792665</v>
      </c>
      <c r="J406" s="174">
        <f>IF(B406-D406&gt;=C406-E406,G406*H406*D406,I406*E406)</f>
        <v>22000</v>
      </c>
      <c r="K406" s="192">
        <f>MIN(INPUT!AQ72/MAX(ABS(B243),ABS(C243),INPUT!AO72),1)</f>
        <v>0.93421052631578949</v>
      </c>
      <c r="L406" s="193">
        <f>INPUT!O72</f>
        <v>12</v>
      </c>
      <c r="M406" s="192">
        <f>2*F406*L406/J406</f>
        <v>1.5822272559366473</v>
      </c>
      <c r="N406" s="194">
        <f>IF(INPUT!AQ72&gt;=INPUT!AO72,1,(12+M406*(3*K406-K406^3))/(12+2*M406))</f>
        <v>0.99867490759818722</v>
      </c>
    </row>
    <row r="407">
      <c r="A407" s="187">
        <f>A244</f>
        <v>101</v>
      </c>
      <c r="B407" s="188">
        <f>INPUT!AT73</f>
        <v>1472.3749846085932</v>
      </c>
      <c r="C407" s="188">
        <f>INPUT!AU73</f>
        <v>1361.6250153914068</v>
      </c>
      <c r="D407" s="188">
        <f>INPUT!J73</f>
        <v>22</v>
      </c>
      <c r="E407" s="188">
        <f>INPUT!L73</f>
        <v>12</v>
      </c>
      <c r="F407" s="189">
        <f>MAX(B407-D407,C407-E407)</f>
        <v>1450.3749846085932</v>
      </c>
      <c r="G407" s="190">
        <f>INPUT!H73</f>
        <v>2</v>
      </c>
      <c r="H407" s="190">
        <f>INPUT!I73</f>
        <v>500</v>
      </c>
      <c r="I407" s="190">
        <f>INPUT!K73</f>
        <v>1936.3312351792665</v>
      </c>
      <c r="J407" s="174">
        <f>IF(B407-D407&gt;=C407-E407,G407*H407*D407,I407*E407)</f>
        <v>22000</v>
      </c>
      <c r="K407" s="192">
        <f>MIN(INPUT!AQ73/MAX(ABS(B244),ABS(C244),INPUT!AO73),1)</f>
        <v>0.93421052631578949</v>
      </c>
      <c r="L407" s="193">
        <f>INPUT!O73</f>
        <v>12</v>
      </c>
      <c r="M407" s="192">
        <f>2*F407*L407/J407</f>
        <v>1.5822272559366473</v>
      </c>
      <c r="N407" s="194">
        <f>IF(INPUT!AQ73&gt;=INPUT!AO73,1,(12+M407*(3*K407-K407^3))/(12+2*M407))</f>
        <v>0.99867490759818722</v>
      </c>
    </row>
    <row r="408">
      <c r="A408" s="187">
        <f>A245</f>
        <v>101</v>
      </c>
      <c r="B408" s="188">
        <f>INPUT!AT74</f>
        <v>1472.3749846085932</v>
      </c>
      <c r="C408" s="188">
        <f>INPUT!AU74</f>
        <v>1361.6250153914068</v>
      </c>
      <c r="D408" s="188">
        <f>INPUT!J74</f>
        <v>22</v>
      </c>
      <c r="E408" s="188">
        <f>INPUT!L74</f>
        <v>12</v>
      </c>
      <c r="F408" s="189">
        <f>MAX(B408-D408,C408-E408)</f>
        <v>1450.3749846085932</v>
      </c>
      <c r="G408" s="190">
        <f>INPUT!H74</f>
        <v>2</v>
      </c>
      <c r="H408" s="190">
        <f>INPUT!I74</f>
        <v>500</v>
      </c>
      <c r="I408" s="190">
        <f>INPUT!K74</f>
        <v>1936.3312351792665</v>
      </c>
      <c r="J408" s="174">
        <f>IF(B408-D408&gt;=C408-E408,G408*H408*D408,I408*E408)</f>
        <v>22000</v>
      </c>
      <c r="K408" s="192">
        <f>MIN(INPUT!AQ74/MAX(ABS(B245),ABS(C245),INPUT!AO74),1)</f>
        <v>0.93421052631578949</v>
      </c>
      <c r="L408" s="193">
        <f>INPUT!O74</f>
        <v>12</v>
      </c>
      <c r="M408" s="192">
        <f>2*F408*L408/J408</f>
        <v>1.5822272559366473</v>
      </c>
      <c r="N408" s="194">
        <f>IF(INPUT!AQ74&gt;=INPUT!AO74,1,(12+M408*(3*K408-K408^3))/(12+2*M408))</f>
        <v>0.99867490759818722</v>
      </c>
    </row>
    <row r="409">
      <c r="A409" s="187">
        <f>A246</f>
        <v>101</v>
      </c>
      <c r="B409" s="188">
        <f>INPUT!AT75</f>
        <v>1472.3749846085932</v>
      </c>
      <c r="C409" s="188">
        <f>INPUT!AU75</f>
        <v>1361.6250153914068</v>
      </c>
      <c r="D409" s="188">
        <f>INPUT!J75</f>
        <v>22</v>
      </c>
      <c r="E409" s="188">
        <f>INPUT!L75</f>
        <v>12</v>
      </c>
      <c r="F409" s="189">
        <f>MAX(B409-D409,C409-E409)</f>
        <v>1450.3749846085932</v>
      </c>
      <c r="G409" s="190">
        <f>INPUT!H75</f>
        <v>2</v>
      </c>
      <c r="H409" s="190">
        <f>INPUT!I75</f>
        <v>500</v>
      </c>
      <c r="I409" s="190">
        <f>INPUT!K75</f>
        <v>1936.3312351792665</v>
      </c>
      <c r="J409" s="174">
        <f>IF(B409-D409&gt;=C409-E409,G409*H409*D409,I409*E409)</f>
        <v>22000</v>
      </c>
      <c r="K409" s="192">
        <f>MIN(INPUT!AQ75/MAX(ABS(B246),ABS(C246),INPUT!AO75),1)</f>
        <v>0.93421052631578949</v>
      </c>
      <c r="L409" s="193">
        <f>INPUT!O75</f>
        <v>12</v>
      </c>
      <c r="M409" s="192">
        <f>2*F409*L409/J409</f>
        <v>1.5822272559366473</v>
      </c>
      <c r="N409" s="194">
        <f>IF(INPUT!AQ75&gt;=INPUT!AO75,1,(12+M409*(3*K409-K409^3))/(12+2*M409))</f>
        <v>0.99867490759818722</v>
      </c>
    </row>
    <row r="410">
      <c r="A410" s="187">
        <f>A247</f>
        <v>101</v>
      </c>
      <c r="B410" s="188">
        <f>INPUT!AT76</f>
        <v>1472.3749846085932</v>
      </c>
      <c r="C410" s="188">
        <f>INPUT!AU76</f>
        <v>1361.6250153914068</v>
      </c>
      <c r="D410" s="188">
        <f>INPUT!J76</f>
        <v>22</v>
      </c>
      <c r="E410" s="188">
        <f>INPUT!L76</f>
        <v>12</v>
      </c>
      <c r="F410" s="189">
        <f>MAX(B410-D410,C410-E410)</f>
        <v>1450.3749846085932</v>
      </c>
      <c r="G410" s="190">
        <f>INPUT!H76</f>
        <v>2</v>
      </c>
      <c r="H410" s="190">
        <f>INPUT!I76</f>
        <v>500</v>
      </c>
      <c r="I410" s="190">
        <f>INPUT!K76</f>
        <v>1936.3312351792665</v>
      </c>
      <c r="J410" s="174">
        <f>IF(B410-D410&gt;=C410-E410,G410*H410*D410,I410*E410)</f>
        <v>22000</v>
      </c>
      <c r="K410" s="192">
        <f>MIN(INPUT!AQ76/MAX(ABS(B247),ABS(C247),INPUT!AO76),1)</f>
        <v>0.93421052631578949</v>
      </c>
      <c r="L410" s="193">
        <f>INPUT!O76</f>
        <v>12</v>
      </c>
      <c r="M410" s="192">
        <f>2*F410*L410/J410</f>
        <v>1.5822272559366473</v>
      </c>
      <c r="N410" s="194">
        <f>IF(INPUT!AQ76&gt;=INPUT!AO76,1,(12+M410*(3*K410-K410^3))/(12+2*M410))</f>
        <v>0.99867490759818722</v>
      </c>
    </row>
    <row r="411">
      <c r="A411" s="187">
        <f>A248</f>
        <v>101</v>
      </c>
      <c r="B411" s="188">
        <f>INPUT!AT77</f>
        <v>1472.3749846085932</v>
      </c>
      <c r="C411" s="188">
        <f>INPUT!AU77</f>
        <v>1361.6250153914068</v>
      </c>
      <c r="D411" s="188">
        <f>INPUT!J77</f>
        <v>22</v>
      </c>
      <c r="E411" s="188">
        <f>INPUT!L77</f>
        <v>12</v>
      </c>
      <c r="F411" s="189">
        <f>MAX(B411-D411,C411-E411)</f>
        <v>1450.3749846085932</v>
      </c>
      <c r="G411" s="190">
        <f>INPUT!H77</f>
        <v>2</v>
      </c>
      <c r="H411" s="190">
        <f>INPUT!I77</f>
        <v>500</v>
      </c>
      <c r="I411" s="190">
        <f>INPUT!K77</f>
        <v>1936.3312351792665</v>
      </c>
      <c r="J411" s="174">
        <f>IF(B411-D411&gt;=C411-E411,G411*H411*D411,I411*E411)</f>
        <v>22000</v>
      </c>
      <c r="K411" s="192">
        <f>MIN(INPUT!AQ77/MAX(ABS(B248),ABS(C248),INPUT!AO77),1)</f>
        <v>0.93421052631578949</v>
      </c>
      <c r="L411" s="193">
        <f>INPUT!O77</f>
        <v>12</v>
      </c>
      <c r="M411" s="192">
        <f>2*F411*L411/J411</f>
        <v>1.5822272559366473</v>
      </c>
      <c r="N411" s="194">
        <f>IF(INPUT!AQ77&gt;=INPUT!AO77,1,(12+M411*(3*K411-K411^3))/(12+2*M411))</f>
        <v>0.99867490759818722</v>
      </c>
    </row>
    <row r="412">
      <c r="A412" s="187">
        <f>A249</f>
        <v>101</v>
      </c>
      <c r="B412" s="188">
        <f>INPUT!AT78</f>
        <v>1472.3749846085932</v>
      </c>
      <c r="C412" s="188">
        <f>INPUT!AU78</f>
        <v>1361.6250153914068</v>
      </c>
      <c r="D412" s="188">
        <f>INPUT!J78</f>
        <v>22</v>
      </c>
      <c r="E412" s="188">
        <f>INPUT!L78</f>
        <v>12</v>
      </c>
      <c r="F412" s="189">
        <f>MAX(B412-D412,C412-E412)</f>
        <v>1450.3749846085932</v>
      </c>
      <c r="G412" s="190">
        <f>INPUT!H78</f>
        <v>2</v>
      </c>
      <c r="H412" s="190">
        <f>INPUT!I78</f>
        <v>500</v>
      </c>
      <c r="I412" s="190">
        <f>INPUT!K78</f>
        <v>1936.3312351792665</v>
      </c>
      <c r="J412" s="174">
        <f>IF(B412-D412&gt;=C412-E412,G412*H412*D412,I412*E412)</f>
        <v>22000</v>
      </c>
      <c r="K412" s="192">
        <f>MIN(INPUT!AQ78/MAX(ABS(B249),ABS(C249),INPUT!AO78),1)</f>
        <v>0.93421052631578949</v>
      </c>
      <c r="L412" s="193">
        <f>INPUT!O78</f>
        <v>12</v>
      </c>
      <c r="M412" s="192">
        <f>2*F412*L412/J412</f>
        <v>1.5822272559366473</v>
      </c>
      <c r="N412" s="194">
        <f>IF(INPUT!AQ78&gt;=INPUT!AO78,1,(12+M412*(3*K412-K412^3))/(12+2*M412))</f>
        <v>0.99867490759818722</v>
      </c>
    </row>
    <row r="413"/>
    <row r="414" ht="15" customHeight="1">
      <c r="A414" s="59" t="s">
        <v>363</v>
      </c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5"/>
      <c r="M414" s="4"/>
    </row>
    <row r="415" ht="15" customHeight="1">
      <c r="A415" s="72" t="s">
        <v>230</v>
      </c>
      <c r="B415" s="78" t="s">
        <v>242</v>
      </c>
      <c r="C415" s="73" t="s">
        <v>364</v>
      </c>
      <c r="D415" s="494" t="s">
        <v>365</v>
      </c>
      <c r="E415" s="498"/>
      <c r="F415" s="498"/>
      <c r="G415" s="495"/>
      <c r="H415" s="494" t="s">
        <v>366</v>
      </c>
      <c r="I415" s="498"/>
      <c r="J415" s="498"/>
      <c r="K415" s="498"/>
      <c r="L415" s="495"/>
      <c r="M415" s="74" t="s">
        <v>367</v>
      </c>
    </row>
    <row r="416" ht="15" customHeight="1">
      <c r="A416" s="75"/>
      <c r="B416" s="79" t="s">
        <v>250</v>
      </c>
      <c r="C416" s="76"/>
      <c r="D416" s="76" t="s">
        <v>368</v>
      </c>
      <c r="E416" s="79" t="s">
        <v>369</v>
      </c>
      <c r="F416" s="79" t="s">
        <v>370</v>
      </c>
      <c r="G416" s="79" t="s">
        <v>371</v>
      </c>
      <c r="H416" s="79" t="s">
        <v>372</v>
      </c>
      <c r="I416" s="79" t="s">
        <v>373</v>
      </c>
      <c r="J416" s="79" t="s">
        <v>374</v>
      </c>
      <c r="K416" s="79" t="s">
        <v>375</v>
      </c>
      <c r="L416" s="79" t="s">
        <v>376</v>
      </c>
      <c r="M416" s="77" t="s">
        <v>377</v>
      </c>
    </row>
    <row r="417" ht="15" customHeight="1">
      <c r="A417" s="182">
        <f>A337</f>
        <v>101</v>
      </c>
      <c r="B417" s="131" t="str">
        <f>D174</f>
        <v>Negative</v>
      </c>
      <c r="C417" s="195" t="str">
        <f>IF(B417="Positive",IF(G337=2,"OF","BF"),"BF")</f>
        <v>BF</v>
      </c>
      <c r="D417" s="179">
        <f>H337/2/D337</f>
        <v>11.363636363636363</v>
      </c>
      <c r="E417" s="192">
        <f>0.38*SQRT(INPUT!$B$2/INPUT!AO3)</f>
        <v>0</v>
      </c>
      <c r="F417" s="192">
        <f>0.56*SQRT(INPUT!$B$2/MAX(MIN(0.7*INPUT!AO3,INPUT!AQ3),0.5*INPUT!AO3))</f>
        <v>0</v>
      </c>
      <c r="G417" s="192" t="e">
        <f>IF(D417&lt;=E417,1*N337*INPUT!AO3,(1-(1-MAX(MIN(0.7*INPUT!AO3,INPUT!AQ3),0.5*INPUT!AO3)/N337/INPUT!AO3)*((D417-E417)/(F417-E417)))*1*N337*INPUT!AO3)</f>
        <v>#DIV/0!</v>
      </c>
      <c r="H417" s="188">
        <f>B94</f>
        <v>3175</v>
      </c>
      <c r="I417" s="196">
        <f>J174</f>
        <v>0</v>
      </c>
      <c r="J417" s="174">
        <f>PI()*F174*SQRT(INPUT!$B$2/MAX(MIN(0.7*INPUT!AO3,INPUT!AQ3),0.5*INPUT!AO3))</f>
        <v>0</v>
      </c>
      <c r="K417" s="191">
        <f>1*1*(PI()^2)*INPUT!$B$2/(H417/F174)^2</f>
        <v>0</v>
      </c>
      <c r="L417" s="192">
        <f>IF(H417&lt;=I417,1*N337*INPUT!AO3,IF(H417&lt;=J417,MIN(1*(1-(1-MAX(MIN(0.7*INPUT!AO3,INPUT!AQ3),0.5*INPUT!AO3)/N337/INPUT!AO3)*((H417-I417)/(J417-I417)))*1*N337*INPUT!AO3,1*N337*INPUT!AO3),MIN(K417,1*N337*INPUT!AO3)))</f>
        <v>0</v>
      </c>
      <c r="M417" s="194" t="str">
        <f>IF(C417="BF","BF",MIN(G417,L417))</f>
        <v>BF</v>
      </c>
    </row>
    <row r="418">
      <c r="A418" s="182">
        <f>A338</f>
        <v>101</v>
      </c>
      <c r="B418" s="131" t="str">
        <f>D175</f>
        <v>Negative</v>
      </c>
      <c r="C418" s="195" t="str">
        <f>IF(B418="Positive",IF(G338=2,"OF","BF"),"BF")</f>
        <v>BF</v>
      </c>
      <c r="D418" s="179">
        <f>H338/2/D338</f>
        <v>11.363636363636363</v>
      </c>
      <c r="E418" s="192">
        <f>0.38*SQRT(INPUT!$B$2/INPUT!AO4)</f>
        <v>0</v>
      </c>
      <c r="F418" s="192">
        <f>0.56*SQRT(INPUT!$B$2/MAX(MIN(0.7*INPUT!AO4,INPUT!AQ4),0.5*INPUT!AO4))</f>
        <v>0</v>
      </c>
      <c r="G418" s="192" t="e">
        <f>IF(D418&lt;=E418,1*N338*INPUT!AO4,(1-(1-MAX(MIN(0.7*INPUT!AO4,INPUT!AQ4),0.5*INPUT!AO4)/N338/INPUT!AO4)*((D418-E418)/(F418-E418)))*1*N338*INPUT!AO4)</f>
        <v>#DIV/0!</v>
      </c>
      <c r="H418" s="188">
        <f>B95</f>
        <v>3175</v>
      </c>
      <c r="I418" s="196">
        <f>J175</f>
        <v>0</v>
      </c>
      <c r="J418" s="174">
        <f>PI()*F175*SQRT(INPUT!$B$2/MAX(MIN(0.7*INPUT!AO4,INPUT!AQ4),0.5*INPUT!AO4))</f>
        <v>0</v>
      </c>
      <c r="K418" s="191">
        <f>1*1*(PI()^2)*INPUT!$B$2/(H418/F175)^2</f>
        <v>0</v>
      </c>
      <c r="L418" s="192">
        <f>IF(H418&lt;=I418,1*N338*INPUT!AO4,IF(H418&lt;=J418,MIN(1*(1-(1-MAX(MIN(0.7*INPUT!AO4,INPUT!AQ4),0.5*INPUT!AO4)/N338/INPUT!AO4)*((H418-I418)/(J418-I418)))*1*N338*INPUT!AO4,1*N338*INPUT!AO4),MIN(K418,1*N338*INPUT!AO4)))</f>
        <v>0</v>
      </c>
      <c r="M418" s="194" t="str">
        <f>IF(C418="BF","BF",MIN(G418,L418))</f>
        <v>BF</v>
      </c>
    </row>
    <row r="419">
      <c r="A419" s="182">
        <f>A339</f>
        <v>101</v>
      </c>
      <c r="B419" s="131" t="str">
        <f>D176</f>
        <v>Negative</v>
      </c>
      <c r="C419" s="195" t="str">
        <f>IF(B419="Positive",IF(G339=2,"OF","BF"),"BF")</f>
        <v>BF</v>
      </c>
      <c r="D419" s="179">
        <f>H339/2/D339</f>
        <v>11.363636363636363</v>
      </c>
      <c r="E419" s="192">
        <f>0.38*SQRT(INPUT!$B$2/INPUT!AO5)</f>
        <v>0</v>
      </c>
      <c r="F419" s="192">
        <f>0.56*SQRT(INPUT!$B$2/MAX(MIN(0.7*INPUT!AO5,INPUT!AQ5),0.5*INPUT!AO5))</f>
        <v>0</v>
      </c>
      <c r="G419" s="192" t="e">
        <f>IF(D419&lt;=E419,1*N339*INPUT!AO5,(1-(1-MAX(MIN(0.7*INPUT!AO5,INPUT!AQ5),0.5*INPUT!AO5)/N339/INPUT!AO5)*((D419-E419)/(F419-E419)))*1*N339*INPUT!AO5)</f>
        <v>#DIV/0!</v>
      </c>
      <c r="H419" s="188">
        <f>B96</f>
        <v>3175</v>
      </c>
      <c r="I419" s="196">
        <f>J176</f>
        <v>0</v>
      </c>
      <c r="J419" s="174">
        <f>PI()*F176*SQRT(INPUT!$B$2/MAX(MIN(0.7*INPUT!AO5,INPUT!AQ5),0.5*INPUT!AO5))</f>
        <v>0</v>
      </c>
      <c r="K419" s="191">
        <f>1*1*(PI()^2)*INPUT!$B$2/(H419/F176)^2</f>
        <v>0</v>
      </c>
      <c r="L419" s="192">
        <f>IF(H419&lt;=I419,1*N339*INPUT!AO5,IF(H419&lt;=J419,MIN(1*(1-(1-MAX(MIN(0.7*INPUT!AO5,INPUT!AQ5),0.5*INPUT!AO5)/N339/INPUT!AO5)*((H419-I419)/(J419-I419)))*1*N339*INPUT!AO5,1*N339*INPUT!AO5),MIN(K419,1*N339*INPUT!AO5)))</f>
        <v>0</v>
      </c>
      <c r="M419" s="194" t="str">
        <f>IF(C419="BF","BF",MIN(G419,L419))</f>
        <v>BF</v>
      </c>
    </row>
    <row r="420">
      <c r="A420" s="182">
        <f>A340</f>
        <v>101</v>
      </c>
      <c r="B420" s="131" t="str">
        <f>D177</f>
        <v>Negative</v>
      </c>
      <c r="C420" s="195" t="str">
        <f>IF(B420="Positive",IF(G340=2,"OF","BF"),"BF")</f>
        <v>BF</v>
      </c>
      <c r="D420" s="179">
        <f>H340/2/D340</f>
        <v>11.363636363636363</v>
      </c>
      <c r="E420" s="192">
        <f>0.38*SQRT(INPUT!$B$2/INPUT!AO6)</f>
        <v>0</v>
      </c>
      <c r="F420" s="192">
        <f>0.56*SQRT(INPUT!$B$2/MAX(MIN(0.7*INPUT!AO6,INPUT!AQ6),0.5*INPUT!AO6))</f>
        <v>0</v>
      </c>
      <c r="G420" s="192" t="e">
        <f>IF(D420&lt;=E420,1*N340*INPUT!AO6,(1-(1-MAX(MIN(0.7*INPUT!AO6,INPUT!AQ6),0.5*INPUT!AO6)/N340/INPUT!AO6)*((D420-E420)/(F420-E420)))*1*N340*INPUT!AO6)</f>
        <v>#DIV/0!</v>
      </c>
      <c r="H420" s="188">
        <f>B97</f>
        <v>3175</v>
      </c>
      <c r="I420" s="196">
        <f>J177</f>
        <v>0</v>
      </c>
      <c r="J420" s="174">
        <f>PI()*F177*SQRT(INPUT!$B$2/MAX(MIN(0.7*INPUT!AO6,INPUT!AQ6),0.5*INPUT!AO6))</f>
        <v>0</v>
      </c>
      <c r="K420" s="191">
        <f>1*1*(PI()^2)*INPUT!$B$2/(H420/F177)^2</f>
        <v>0</v>
      </c>
      <c r="L420" s="192">
        <f>IF(H420&lt;=I420,1*N340*INPUT!AO6,IF(H420&lt;=J420,MIN(1*(1-(1-MAX(MIN(0.7*INPUT!AO6,INPUT!AQ6),0.5*INPUT!AO6)/N340/INPUT!AO6)*((H420-I420)/(J420-I420)))*1*N340*INPUT!AO6,1*N340*INPUT!AO6),MIN(K420,1*N340*INPUT!AO6)))</f>
        <v>0</v>
      </c>
      <c r="M420" s="194" t="str">
        <f>IF(C420="BF","BF",MIN(G420,L420))</f>
        <v>BF</v>
      </c>
    </row>
    <row r="421">
      <c r="A421" s="182">
        <f>A341</f>
        <v>101</v>
      </c>
      <c r="B421" s="131" t="str">
        <f>D178</f>
        <v>Negative</v>
      </c>
      <c r="C421" s="195" t="str">
        <f>IF(B421="Positive",IF(G341=2,"OF","BF"),"BF")</f>
        <v>BF</v>
      </c>
      <c r="D421" s="179">
        <f>H341/2/D341</f>
        <v>11.363636363636363</v>
      </c>
      <c r="E421" s="192">
        <f>0.38*SQRT(INPUT!$B$2/INPUT!AO7)</f>
        <v>0</v>
      </c>
      <c r="F421" s="192">
        <f>0.56*SQRT(INPUT!$B$2/MAX(MIN(0.7*INPUT!AO7,INPUT!AQ7),0.5*INPUT!AO7))</f>
        <v>0</v>
      </c>
      <c r="G421" s="192" t="e">
        <f>IF(D421&lt;=E421,1*N341*INPUT!AO7,(1-(1-MAX(MIN(0.7*INPUT!AO7,INPUT!AQ7),0.5*INPUT!AO7)/N341/INPUT!AO7)*((D421-E421)/(F421-E421)))*1*N341*INPUT!AO7)</f>
        <v>#DIV/0!</v>
      </c>
      <c r="H421" s="188">
        <f>B98</f>
        <v>3175</v>
      </c>
      <c r="I421" s="196">
        <f>J178</f>
        <v>0</v>
      </c>
      <c r="J421" s="174">
        <f>PI()*F178*SQRT(INPUT!$B$2/MAX(MIN(0.7*INPUT!AO7,INPUT!AQ7),0.5*INPUT!AO7))</f>
        <v>0</v>
      </c>
      <c r="K421" s="191">
        <f>1*1*(PI()^2)*INPUT!$B$2/(H421/F178)^2</f>
        <v>0</v>
      </c>
      <c r="L421" s="192">
        <f>IF(H421&lt;=I421,1*N341*INPUT!AO7,IF(H421&lt;=J421,MIN(1*(1-(1-MAX(MIN(0.7*INPUT!AO7,INPUT!AQ7),0.5*INPUT!AO7)/N341/INPUT!AO7)*((H421-I421)/(J421-I421)))*1*N341*INPUT!AO7,1*N341*INPUT!AO7),MIN(K421,1*N341*INPUT!AO7)))</f>
        <v>0</v>
      </c>
      <c r="M421" s="194" t="str">
        <f>IF(C421="BF","BF",MIN(G421,L421))</f>
        <v>BF</v>
      </c>
    </row>
    <row r="422">
      <c r="A422" s="182">
        <f>A342</f>
        <v>101</v>
      </c>
      <c r="B422" s="131" t="str">
        <f>D179</f>
        <v>Negative</v>
      </c>
      <c r="C422" s="195" t="str">
        <f>IF(B422="Positive",IF(G342=2,"OF","BF"),"BF")</f>
        <v>BF</v>
      </c>
      <c r="D422" s="179">
        <f>H342/2/D342</f>
        <v>11.363636363636363</v>
      </c>
      <c r="E422" s="192">
        <f>0.38*SQRT(INPUT!$B$2/INPUT!AO8)</f>
        <v>0</v>
      </c>
      <c r="F422" s="192">
        <f>0.56*SQRT(INPUT!$B$2/MAX(MIN(0.7*INPUT!AO8,INPUT!AQ8),0.5*INPUT!AO8))</f>
        <v>0</v>
      </c>
      <c r="G422" s="192" t="e">
        <f>IF(D422&lt;=E422,1*N342*INPUT!AO8,(1-(1-MAX(MIN(0.7*INPUT!AO8,INPUT!AQ8),0.5*INPUT!AO8)/N342/INPUT!AO8)*((D422-E422)/(F422-E422)))*1*N342*INPUT!AO8)</f>
        <v>#DIV/0!</v>
      </c>
      <c r="H422" s="188">
        <f>B99</f>
        <v>3175</v>
      </c>
      <c r="I422" s="196">
        <f>J179</f>
        <v>0</v>
      </c>
      <c r="J422" s="174">
        <f>PI()*F179*SQRT(INPUT!$B$2/MAX(MIN(0.7*INPUT!AO8,INPUT!AQ8),0.5*INPUT!AO8))</f>
        <v>0</v>
      </c>
      <c r="K422" s="191">
        <f>1*1*(PI()^2)*INPUT!$B$2/(H422/F179)^2</f>
        <v>0</v>
      </c>
      <c r="L422" s="192">
        <f>IF(H422&lt;=I422,1*N342*INPUT!AO8,IF(H422&lt;=J422,MIN(1*(1-(1-MAX(MIN(0.7*INPUT!AO8,INPUT!AQ8),0.5*INPUT!AO8)/N342/INPUT!AO8)*((H422-I422)/(J422-I422)))*1*N342*INPUT!AO8,1*N342*INPUT!AO8),MIN(K422,1*N342*INPUT!AO8)))</f>
        <v>0</v>
      </c>
      <c r="M422" s="194" t="str">
        <f>IF(C422="BF","BF",MIN(G422,L422))</f>
        <v>BF</v>
      </c>
    </row>
    <row r="423">
      <c r="A423" s="182">
        <f>A343</f>
        <v>101</v>
      </c>
      <c r="B423" s="131" t="str">
        <f>D180</f>
        <v>Negative</v>
      </c>
      <c r="C423" s="195" t="str">
        <f>IF(B423="Positive",IF(G343=2,"OF","BF"),"BF")</f>
        <v>BF</v>
      </c>
      <c r="D423" s="179">
        <f>H343/2/D343</f>
        <v>11.363636363636363</v>
      </c>
      <c r="E423" s="192">
        <f>0.38*SQRT(INPUT!$B$2/INPUT!AO9)</f>
        <v>0</v>
      </c>
      <c r="F423" s="192">
        <f>0.56*SQRT(INPUT!$B$2/MAX(MIN(0.7*INPUT!AO9,INPUT!AQ9),0.5*INPUT!AO9))</f>
        <v>0</v>
      </c>
      <c r="G423" s="192" t="e">
        <f>IF(D423&lt;=E423,1*N343*INPUT!AO9,(1-(1-MAX(MIN(0.7*INPUT!AO9,INPUT!AQ9),0.5*INPUT!AO9)/N343/INPUT!AO9)*((D423-E423)/(F423-E423)))*1*N343*INPUT!AO9)</f>
        <v>#DIV/0!</v>
      </c>
      <c r="H423" s="188">
        <f>B100</f>
        <v>3175</v>
      </c>
      <c r="I423" s="196">
        <f>J180</f>
        <v>0</v>
      </c>
      <c r="J423" s="174">
        <f>PI()*F180*SQRT(INPUT!$B$2/MAX(MIN(0.7*INPUT!AO9,INPUT!AQ9),0.5*INPUT!AO9))</f>
        <v>0</v>
      </c>
      <c r="K423" s="191">
        <f>1*1*(PI()^2)*INPUT!$B$2/(H423/F180)^2</f>
        <v>0</v>
      </c>
      <c r="L423" s="192">
        <f>IF(H423&lt;=I423,1*N343*INPUT!AO9,IF(H423&lt;=J423,MIN(1*(1-(1-MAX(MIN(0.7*INPUT!AO9,INPUT!AQ9),0.5*INPUT!AO9)/N343/INPUT!AO9)*((H423-I423)/(J423-I423)))*1*N343*INPUT!AO9,1*N343*INPUT!AO9),MIN(K423,1*N343*INPUT!AO9)))</f>
        <v>0</v>
      </c>
      <c r="M423" s="194" t="str">
        <f>IF(C423="BF","BF",MIN(G423,L423))</f>
        <v>BF</v>
      </c>
    </row>
    <row r="424">
      <c r="A424" s="182">
        <f>A344</f>
        <v>101</v>
      </c>
      <c r="B424" s="131" t="str">
        <f>D181</f>
        <v>Negative</v>
      </c>
      <c r="C424" s="195" t="str">
        <f>IF(B424="Positive",IF(G344=2,"OF","BF"),"BF")</f>
        <v>BF</v>
      </c>
      <c r="D424" s="179">
        <f>H344/2/D344</f>
        <v>11.363636363636363</v>
      </c>
      <c r="E424" s="192">
        <f>0.38*SQRT(INPUT!$B$2/INPUT!AO10)</f>
        <v>0</v>
      </c>
      <c r="F424" s="192">
        <f>0.56*SQRT(INPUT!$B$2/MAX(MIN(0.7*INPUT!AO10,INPUT!AQ10),0.5*INPUT!AO10))</f>
        <v>0</v>
      </c>
      <c r="G424" s="192" t="e">
        <f>IF(D424&lt;=E424,1*N344*INPUT!AO10,(1-(1-MAX(MIN(0.7*INPUT!AO10,INPUT!AQ10),0.5*INPUT!AO10)/N344/INPUT!AO10)*((D424-E424)/(F424-E424)))*1*N344*INPUT!AO10)</f>
        <v>#DIV/0!</v>
      </c>
      <c r="H424" s="188">
        <f>B101</f>
        <v>3175</v>
      </c>
      <c r="I424" s="196">
        <f>J181</f>
        <v>0</v>
      </c>
      <c r="J424" s="174">
        <f>PI()*F181*SQRT(INPUT!$B$2/MAX(MIN(0.7*INPUT!AO10,INPUT!AQ10),0.5*INPUT!AO10))</f>
        <v>0</v>
      </c>
      <c r="K424" s="191">
        <f>1*1*(PI()^2)*INPUT!$B$2/(H424/F181)^2</f>
        <v>0</v>
      </c>
      <c r="L424" s="192">
        <f>IF(H424&lt;=I424,1*N344*INPUT!AO10,IF(H424&lt;=J424,MIN(1*(1-(1-MAX(MIN(0.7*INPUT!AO10,INPUT!AQ10),0.5*INPUT!AO10)/N344/INPUT!AO10)*((H424-I424)/(J424-I424)))*1*N344*INPUT!AO10,1*N344*INPUT!AO10),MIN(K424,1*N344*INPUT!AO10)))</f>
        <v>0</v>
      </c>
      <c r="M424" s="194" t="str">
        <f>IF(C424="BF","BF",MIN(G424,L424))</f>
        <v>BF</v>
      </c>
    </row>
    <row r="425">
      <c r="A425" s="182">
        <f>A345</f>
        <v>101</v>
      </c>
      <c r="B425" s="131" t="str">
        <f>D182</f>
        <v>Negative</v>
      </c>
      <c r="C425" s="195" t="str">
        <f>IF(B425="Positive",IF(G345=2,"OF","BF"),"BF")</f>
        <v>BF</v>
      </c>
      <c r="D425" s="179">
        <f>H345/2/D345</f>
        <v>11.363636363636363</v>
      </c>
      <c r="E425" s="192">
        <f>0.38*SQRT(INPUT!$B$2/INPUT!AO11)</f>
        <v>0</v>
      </c>
      <c r="F425" s="192">
        <f>0.56*SQRT(INPUT!$B$2/MAX(MIN(0.7*INPUT!AO11,INPUT!AQ11),0.5*INPUT!AO11))</f>
        <v>0</v>
      </c>
      <c r="G425" s="192" t="e">
        <f>IF(D425&lt;=E425,1*N345*INPUT!AO11,(1-(1-MAX(MIN(0.7*INPUT!AO11,INPUT!AQ11),0.5*INPUT!AO11)/N345/INPUT!AO11)*((D425-E425)/(F425-E425)))*1*N345*INPUT!AO11)</f>
        <v>#DIV/0!</v>
      </c>
      <c r="H425" s="188">
        <f>B102</f>
        <v>3175</v>
      </c>
      <c r="I425" s="196">
        <f>J182</f>
        <v>0</v>
      </c>
      <c r="J425" s="174">
        <f>PI()*F182*SQRT(INPUT!$B$2/MAX(MIN(0.7*INPUT!AO11,INPUT!AQ11),0.5*INPUT!AO11))</f>
        <v>0</v>
      </c>
      <c r="K425" s="191">
        <f>1*1*(PI()^2)*INPUT!$B$2/(H425/F182)^2</f>
        <v>0</v>
      </c>
      <c r="L425" s="192">
        <f>IF(H425&lt;=I425,1*N345*INPUT!AO11,IF(H425&lt;=J425,MIN(1*(1-(1-MAX(MIN(0.7*INPUT!AO11,INPUT!AQ11),0.5*INPUT!AO11)/N345/INPUT!AO11)*((H425-I425)/(J425-I425)))*1*N345*INPUT!AO11,1*N345*INPUT!AO11),MIN(K425,1*N345*INPUT!AO11)))</f>
        <v>0</v>
      </c>
      <c r="M425" s="194" t="str">
        <f>IF(C425="BF","BF",MIN(G425,L425))</f>
        <v>BF</v>
      </c>
    </row>
    <row r="426">
      <c r="A426" s="182">
        <f>A346</f>
        <v>101</v>
      </c>
      <c r="B426" s="131" t="str">
        <f>D183</f>
        <v>Negative</v>
      </c>
      <c r="C426" s="195" t="str">
        <f>IF(B426="Positive",IF(G346=2,"OF","BF"),"BF")</f>
        <v>BF</v>
      </c>
      <c r="D426" s="179">
        <f>H346/2/D346</f>
        <v>11.363636363636363</v>
      </c>
      <c r="E426" s="192">
        <f>0.38*SQRT(INPUT!$B$2/INPUT!AO12)</f>
        <v>0</v>
      </c>
      <c r="F426" s="192">
        <f>0.56*SQRT(INPUT!$B$2/MAX(MIN(0.7*INPUT!AO12,INPUT!AQ12),0.5*INPUT!AO12))</f>
        <v>0</v>
      </c>
      <c r="G426" s="192" t="e">
        <f>IF(D426&lt;=E426,1*N346*INPUT!AO12,(1-(1-MAX(MIN(0.7*INPUT!AO12,INPUT!AQ12),0.5*INPUT!AO12)/N346/INPUT!AO12)*((D426-E426)/(F426-E426)))*1*N346*INPUT!AO12)</f>
        <v>#DIV/0!</v>
      </c>
      <c r="H426" s="188">
        <f>B103</f>
        <v>3175</v>
      </c>
      <c r="I426" s="196">
        <f>J183</f>
        <v>0</v>
      </c>
      <c r="J426" s="174">
        <f>PI()*F183*SQRT(INPUT!$B$2/MAX(MIN(0.7*INPUT!AO12,INPUT!AQ12),0.5*INPUT!AO12))</f>
        <v>0</v>
      </c>
      <c r="K426" s="191">
        <f>1*1*(PI()^2)*INPUT!$B$2/(H426/F183)^2</f>
        <v>0</v>
      </c>
      <c r="L426" s="192">
        <f>IF(H426&lt;=I426,1*N346*INPUT!AO12,IF(H426&lt;=J426,MIN(1*(1-(1-MAX(MIN(0.7*INPUT!AO12,INPUT!AQ12),0.5*INPUT!AO12)/N346/INPUT!AO12)*((H426-I426)/(J426-I426)))*1*N346*INPUT!AO12,1*N346*INPUT!AO12),MIN(K426,1*N346*INPUT!AO12)))</f>
        <v>0</v>
      </c>
      <c r="M426" s="194" t="str">
        <f>IF(C426="BF","BF",MIN(G426,L426))</f>
        <v>BF</v>
      </c>
    </row>
    <row r="427">
      <c r="A427" s="182">
        <f>A347</f>
        <v>101</v>
      </c>
      <c r="B427" s="131" t="str">
        <f>D184</f>
        <v>Negative</v>
      </c>
      <c r="C427" s="195" t="str">
        <f>IF(B427="Positive",IF(G347=2,"OF","BF"),"BF")</f>
        <v>BF</v>
      </c>
      <c r="D427" s="179">
        <f>H347/2/D347</f>
        <v>11.363636363636363</v>
      </c>
      <c r="E427" s="192">
        <f>0.38*SQRT(INPUT!$B$2/INPUT!AO13)</f>
        <v>0</v>
      </c>
      <c r="F427" s="192">
        <f>0.56*SQRT(INPUT!$B$2/MAX(MIN(0.7*INPUT!AO13,INPUT!AQ13),0.5*INPUT!AO13))</f>
        <v>0</v>
      </c>
      <c r="G427" s="192" t="e">
        <f>IF(D427&lt;=E427,1*N347*INPUT!AO13,(1-(1-MAX(MIN(0.7*INPUT!AO13,INPUT!AQ13),0.5*INPUT!AO13)/N347/INPUT!AO13)*((D427-E427)/(F427-E427)))*1*N347*INPUT!AO13)</f>
        <v>#DIV/0!</v>
      </c>
      <c r="H427" s="188">
        <f>B104</f>
        <v>3175</v>
      </c>
      <c r="I427" s="196">
        <f>J184</f>
        <v>0</v>
      </c>
      <c r="J427" s="174">
        <f>PI()*F184*SQRT(INPUT!$B$2/MAX(MIN(0.7*INPUT!AO13,INPUT!AQ13),0.5*INPUT!AO13))</f>
        <v>0</v>
      </c>
      <c r="K427" s="191">
        <f>1*1*(PI()^2)*INPUT!$B$2/(H427/F184)^2</f>
        <v>0</v>
      </c>
      <c r="L427" s="192">
        <f>IF(H427&lt;=I427,1*N347*INPUT!AO13,IF(H427&lt;=J427,MIN(1*(1-(1-MAX(MIN(0.7*INPUT!AO13,INPUT!AQ13),0.5*INPUT!AO13)/N347/INPUT!AO13)*((H427-I427)/(J427-I427)))*1*N347*INPUT!AO13,1*N347*INPUT!AO13),MIN(K427,1*N347*INPUT!AO13)))</f>
        <v>0</v>
      </c>
      <c r="M427" s="194" t="str">
        <f>IF(C427="BF","BF",MIN(G427,L427))</f>
        <v>BF</v>
      </c>
    </row>
    <row r="428">
      <c r="A428" s="182">
        <f>A348</f>
        <v>101</v>
      </c>
      <c r="B428" s="131" t="str">
        <f>D185</f>
        <v>Negative</v>
      </c>
      <c r="C428" s="195" t="str">
        <f>IF(B428="Positive",IF(G348=2,"OF","BF"),"BF")</f>
        <v>BF</v>
      </c>
      <c r="D428" s="179">
        <f>H348/2/D348</f>
        <v>11.363636363636363</v>
      </c>
      <c r="E428" s="192">
        <f>0.38*SQRT(INPUT!$B$2/INPUT!AO14)</f>
        <v>0</v>
      </c>
      <c r="F428" s="192">
        <f>0.56*SQRT(INPUT!$B$2/MAX(MIN(0.7*INPUT!AO14,INPUT!AQ14),0.5*INPUT!AO14))</f>
        <v>0</v>
      </c>
      <c r="G428" s="192" t="e">
        <f>IF(D428&lt;=E428,1*N348*INPUT!AO14,(1-(1-MAX(MIN(0.7*INPUT!AO14,INPUT!AQ14),0.5*INPUT!AO14)/N348/INPUT!AO14)*((D428-E428)/(F428-E428)))*1*N348*INPUT!AO14)</f>
        <v>#DIV/0!</v>
      </c>
      <c r="H428" s="188">
        <f>B105</f>
        <v>3175</v>
      </c>
      <c r="I428" s="196">
        <f>J185</f>
        <v>0</v>
      </c>
      <c r="J428" s="174">
        <f>PI()*F185*SQRT(INPUT!$B$2/MAX(MIN(0.7*INPUT!AO14,INPUT!AQ14),0.5*INPUT!AO14))</f>
        <v>0</v>
      </c>
      <c r="K428" s="191">
        <f>1*1*(PI()^2)*INPUT!$B$2/(H428/F185)^2</f>
        <v>0</v>
      </c>
      <c r="L428" s="192">
        <f>IF(H428&lt;=I428,1*N348*INPUT!AO14,IF(H428&lt;=J428,MIN(1*(1-(1-MAX(MIN(0.7*INPUT!AO14,INPUT!AQ14),0.5*INPUT!AO14)/N348/INPUT!AO14)*((H428-I428)/(J428-I428)))*1*N348*INPUT!AO14,1*N348*INPUT!AO14),MIN(K428,1*N348*INPUT!AO14)))</f>
        <v>0</v>
      </c>
      <c r="M428" s="194" t="str">
        <f>IF(C428="BF","BF",MIN(G428,L428))</f>
        <v>BF</v>
      </c>
    </row>
    <row r="429">
      <c r="A429" s="182">
        <f>A349</f>
        <v>101</v>
      </c>
      <c r="B429" s="131" t="str">
        <f>D186</f>
        <v>Negative</v>
      </c>
      <c r="C429" s="195" t="str">
        <f>IF(B429="Positive",IF(G349=2,"OF","BF"),"BF")</f>
        <v>BF</v>
      </c>
      <c r="D429" s="179">
        <f>H349/2/D349</f>
        <v>11.363636363636363</v>
      </c>
      <c r="E429" s="192">
        <f>0.38*SQRT(INPUT!$B$2/INPUT!AO15)</f>
        <v>0</v>
      </c>
      <c r="F429" s="192">
        <f>0.56*SQRT(INPUT!$B$2/MAX(MIN(0.7*INPUT!AO15,INPUT!AQ15),0.5*INPUT!AO15))</f>
        <v>0</v>
      </c>
      <c r="G429" s="192" t="e">
        <f>IF(D429&lt;=E429,1*N349*INPUT!AO15,(1-(1-MAX(MIN(0.7*INPUT!AO15,INPUT!AQ15),0.5*INPUT!AO15)/N349/INPUT!AO15)*((D429-E429)/(F429-E429)))*1*N349*INPUT!AO15)</f>
        <v>#DIV/0!</v>
      </c>
      <c r="H429" s="188">
        <f>B106</f>
        <v>3175</v>
      </c>
      <c r="I429" s="196">
        <f>J186</f>
        <v>0</v>
      </c>
      <c r="J429" s="174">
        <f>PI()*F186*SQRT(INPUT!$B$2/MAX(MIN(0.7*INPUT!AO15,INPUT!AQ15),0.5*INPUT!AO15))</f>
        <v>0</v>
      </c>
      <c r="K429" s="191">
        <f>1*1*(PI()^2)*INPUT!$B$2/(H429/F186)^2</f>
        <v>0</v>
      </c>
      <c r="L429" s="192">
        <f>IF(H429&lt;=I429,1*N349*INPUT!AO15,IF(H429&lt;=J429,MIN(1*(1-(1-MAX(MIN(0.7*INPUT!AO15,INPUT!AQ15),0.5*INPUT!AO15)/N349/INPUT!AO15)*((H429-I429)/(J429-I429)))*1*N349*INPUT!AO15,1*N349*INPUT!AO15),MIN(K429,1*N349*INPUT!AO15)))</f>
        <v>0</v>
      </c>
      <c r="M429" s="194" t="str">
        <f>IF(C429="BF","BF",MIN(G429,L429))</f>
        <v>BF</v>
      </c>
    </row>
    <row r="430">
      <c r="A430" s="182">
        <f>A350</f>
        <v>101</v>
      </c>
      <c r="B430" s="131" t="str">
        <f>D187</f>
        <v>Negative</v>
      </c>
      <c r="C430" s="195" t="str">
        <f>IF(B430="Positive",IF(G350=2,"OF","BF"),"BF")</f>
        <v>BF</v>
      </c>
      <c r="D430" s="179">
        <f>H350/2/D350</f>
        <v>11.363636363636363</v>
      </c>
      <c r="E430" s="192">
        <f>0.38*SQRT(INPUT!$B$2/INPUT!AO16)</f>
        <v>0</v>
      </c>
      <c r="F430" s="192">
        <f>0.56*SQRT(INPUT!$B$2/MAX(MIN(0.7*INPUT!AO16,INPUT!AQ16),0.5*INPUT!AO16))</f>
        <v>0</v>
      </c>
      <c r="G430" s="192" t="e">
        <f>IF(D430&lt;=E430,1*N350*INPUT!AO16,(1-(1-MAX(MIN(0.7*INPUT!AO16,INPUT!AQ16),0.5*INPUT!AO16)/N350/INPUT!AO16)*((D430-E430)/(F430-E430)))*1*N350*INPUT!AO16)</f>
        <v>#DIV/0!</v>
      </c>
      <c r="H430" s="188">
        <f>B107</f>
        <v>3175</v>
      </c>
      <c r="I430" s="196">
        <f>J187</f>
        <v>0</v>
      </c>
      <c r="J430" s="174">
        <f>PI()*F187*SQRT(INPUT!$B$2/MAX(MIN(0.7*INPUT!AO16,INPUT!AQ16),0.5*INPUT!AO16))</f>
        <v>0</v>
      </c>
      <c r="K430" s="191">
        <f>1*1*(PI()^2)*INPUT!$B$2/(H430/F187)^2</f>
        <v>0</v>
      </c>
      <c r="L430" s="192">
        <f>IF(H430&lt;=I430,1*N350*INPUT!AO16,IF(H430&lt;=J430,MIN(1*(1-(1-MAX(MIN(0.7*INPUT!AO16,INPUT!AQ16),0.5*INPUT!AO16)/N350/INPUT!AO16)*((H430-I430)/(J430-I430)))*1*N350*INPUT!AO16,1*N350*INPUT!AO16),MIN(K430,1*N350*INPUT!AO16)))</f>
        <v>0</v>
      </c>
      <c r="M430" s="194" t="str">
        <f>IF(C430="BF","BF",MIN(G430,L430))</f>
        <v>BF</v>
      </c>
    </row>
    <row r="431">
      <c r="A431" s="182">
        <f>A351</f>
        <v>101</v>
      </c>
      <c r="B431" s="131" t="str">
        <f>D188</f>
        <v>Negative</v>
      </c>
      <c r="C431" s="195" t="str">
        <f>IF(B431="Positive",IF(G351=2,"OF","BF"),"BF")</f>
        <v>BF</v>
      </c>
      <c r="D431" s="179">
        <f>H351/2/D351</f>
        <v>11.363636363636363</v>
      </c>
      <c r="E431" s="192">
        <f>0.38*SQRT(INPUT!$B$2/INPUT!AO17)</f>
        <v>0</v>
      </c>
      <c r="F431" s="192">
        <f>0.56*SQRT(INPUT!$B$2/MAX(MIN(0.7*INPUT!AO17,INPUT!AQ17),0.5*INPUT!AO17))</f>
        <v>0</v>
      </c>
      <c r="G431" s="192" t="e">
        <f>IF(D431&lt;=E431,1*N351*INPUT!AO17,(1-(1-MAX(MIN(0.7*INPUT!AO17,INPUT!AQ17),0.5*INPUT!AO17)/N351/INPUT!AO17)*((D431-E431)/(F431-E431)))*1*N351*INPUT!AO17)</f>
        <v>#DIV/0!</v>
      </c>
      <c r="H431" s="188">
        <f>B108</f>
        <v>3175</v>
      </c>
      <c r="I431" s="196">
        <f>J188</f>
        <v>0</v>
      </c>
      <c r="J431" s="174">
        <f>PI()*F188*SQRT(INPUT!$B$2/MAX(MIN(0.7*INPUT!AO17,INPUT!AQ17),0.5*INPUT!AO17))</f>
        <v>0</v>
      </c>
      <c r="K431" s="191">
        <f>1*1*(PI()^2)*INPUT!$B$2/(H431/F188)^2</f>
        <v>0</v>
      </c>
      <c r="L431" s="192">
        <f>IF(H431&lt;=I431,1*N351*INPUT!AO17,IF(H431&lt;=J431,MIN(1*(1-(1-MAX(MIN(0.7*INPUT!AO17,INPUT!AQ17),0.5*INPUT!AO17)/N351/INPUT!AO17)*((H431-I431)/(J431-I431)))*1*N351*INPUT!AO17,1*N351*INPUT!AO17),MIN(K431,1*N351*INPUT!AO17)))</f>
        <v>0</v>
      </c>
      <c r="M431" s="194" t="str">
        <f>IF(C431="BF","BF",MIN(G431,L431))</f>
        <v>BF</v>
      </c>
    </row>
    <row r="432">
      <c r="A432" s="182">
        <f>A352</f>
        <v>101</v>
      </c>
      <c r="B432" s="131" t="str">
        <f>D189</f>
        <v>Negative</v>
      </c>
      <c r="C432" s="195" t="str">
        <f>IF(B432="Positive",IF(G352=2,"OF","BF"),"BF")</f>
        <v>BF</v>
      </c>
      <c r="D432" s="179">
        <f>H352/2/D352</f>
        <v>11.363636363636363</v>
      </c>
      <c r="E432" s="192">
        <f>0.38*SQRT(INPUT!$B$2/INPUT!AO18)</f>
        <v>0</v>
      </c>
      <c r="F432" s="192">
        <f>0.56*SQRT(INPUT!$B$2/MAX(MIN(0.7*INPUT!AO18,INPUT!AQ18),0.5*INPUT!AO18))</f>
        <v>0</v>
      </c>
      <c r="G432" s="192" t="e">
        <f>IF(D432&lt;=E432,1*N352*INPUT!AO18,(1-(1-MAX(MIN(0.7*INPUT!AO18,INPUT!AQ18),0.5*INPUT!AO18)/N352/INPUT!AO18)*((D432-E432)/(F432-E432)))*1*N352*INPUT!AO18)</f>
        <v>#DIV/0!</v>
      </c>
      <c r="H432" s="188">
        <f>B109</f>
        <v>3175</v>
      </c>
      <c r="I432" s="196">
        <f>J189</f>
        <v>0</v>
      </c>
      <c r="J432" s="174">
        <f>PI()*F189*SQRT(INPUT!$B$2/MAX(MIN(0.7*INPUT!AO18,INPUT!AQ18),0.5*INPUT!AO18))</f>
        <v>0</v>
      </c>
      <c r="K432" s="191">
        <f>1*1*(PI()^2)*INPUT!$B$2/(H432/F189)^2</f>
        <v>0</v>
      </c>
      <c r="L432" s="192">
        <f>IF(H432&lt;=I432,1*N352*INPUT!AO18,IF(H432&lt;=J432,MIN(1*(1-(1-MAX(MIN(0.7*INPUT!AO18,INPUT!AQ18),0.5*INPUT!AO18)/N352/INPUT!AO18)*((H432-I432)/(J432-I432)))*1*N352*INPUT!AO18,1*N352*INPUT!AO18),MIN(K432,1*N352*INPUT!AO18)))</f>
        <v>0</v>
      </c>
      <c r="M432" s="194" t="str">
        <f>IF(C432="BF","BF",MIN(G432,L432))</f>
        <v>BF</v>
      </c>
    </row>
    <row r="433">
      <c r="A433" s="182">
        <f>A353</f>
        <v>101</v>
      </c>
      <c r="B433" s="131" t="str">
        <f>D190</f>
        <v>Negative</v>
      </c>
      <c r="C433" s="195" t="str">
        <f>IF(B433="Positive",IF(G353=2,"OF","BF"),"BF")</f>
        <v>BF</v>
      </c>
      <c r="D433" s="179">
        <f>H353/2/D353</f>
        <v>11.363636363636363</v>
      </c>
      <c r="E433" s="192">
        <f>0.38*SQRT(INPUT!$B$2/INPUT!AO19)</f>
        <v>0</v>
      </c>
      <c r="F433" s="192">
        <f>0.56*SQRT(INPUT!$B$2/MAX(MIN(0.7*INPUT!AO19,INPUT!AQ19),0.5*INPUT!AO19))</f>
        <v>0</v>
      </c>
      <c r="G433" s="192" t="e">
        <f>IF(D433&lt;=E433,1*N353*INPUT!AO19,(1-(1-MAX(MIN(0.7*INPUT!AO19,INPUT!AQ19),0.5*INPUT!AO19)/N353/INPUT!AO19)*((D433-E433)/(F433-E433)))*1*N353*INPUT!AO19)</f>
        <v>#DIV/0!</v>
      </c>
      <c r="H433" s="188">
        <f>B110</f>
        <v>3175</v>
      </c>
      <c r="I433" s="196">
        <f>J190</f>
        <v>0</v>
      </c>
      <c r="J433" s="174">
        <f>PI()*F190*SQRT(INPUT!$B$2/MAX(MIN(0.7*INPUT!AO19,INPUT!AQ19),0.5*INPUT!AO19))</f>
        <v>0</v>
      </c>
      <c r="K433" s="191">
        <f>1*1*(PI()^2)*INPUT!$B$2/(H433/F190)^2</f>
        <v>0</v>
      </c>
      <c r="L433" s="192">
        <f>IF(H433&lt;=I433,1*N353*INPUT!AO19,IF(H433&lt;=J433,MIN(1*(1-(1-MAX(MIN(0.7*INPUT!AO19,INPUT!AQ19),0.5*INPUT!AO19)/N353/INPUT!AO19)*((H433-I433)/(J433-I433)))*1*N353*INPUT!AO19,1*N353*INPUT!AO19),MIN(K433,1*N353*INPUT!AO19)))</f>
        <v>0</v>
      </c>
      <c r="M433" s="194" t="str">
        <f>IF(C433="BF","BF",MIN(G433,L433))</f>
        <v>BF</v>
      </c>
    </row>
    <row r="434">
      <c r="A434" s="182">
        <f>A354</f>
        <v>101</v>
      </c>
      <c r="B434" s="131" t="str">
        <f>D191</f>
        <v>Negative</v>
      </c>
      <c r="C434" s="195" t="str">
        <f>IF(B434="Positive",IF(G354=2,"OF","BF"),"BF")</f>
        <v>BF</v>
      </c>
      <c r="D434" s="179">
        <f>H354/2/D354</f>
        <v>11.363636363636363</v>
      </c>
      <c r="E434" s="192">
        <f>0.38*SQRT(INPUT!$B$2/INPUT!AO20)</f>
        <v>0</v>
      </c>
      <c r="F434" s="192">
        <f>0.56*SQRT(INPUT!$B$2/MAX(MIN(0.7*INPUT!AO20,INPUT!AQ20),0.5*INPUT!AO20))</f>
        <v>0</v>
      </c>
      <c r="G434" s="192" t="e">
        <f>IF(D434&lt;=E434,1*N354*INPUT!AO20,(1-(1-MAX(MIN(0.7*INPUT!AO20,INPUT!AQ20),0.5*INPUT!AO20)/N354/INPUT!AO20)*((D434-E434)/(F434-E434)))*1*N354*INPUT!AO20)</f>
        <v>#DIV/0!</v>
      </c>
      <c r="H434" s="188">
        <f>B111</f>
        <v>3175</v>
      </c>
      <c r="I434" s="196">
        <f>J191</f>
        <v>0</v>
      </c>
      <c r="J434" s="174">
        <f>PI()*F191*SQRT(INPUT!$B$2/MAX(MIN(0.7*INPUT!AO20,INPUT!AQ20),0.5*INPUT!AO20))</f>
        <v>0</v>
      </c>
      <c r="K434" s="191">
        <f>1*1*(PI()^2)*INPUT!$B$2/(H434/F191)^2</f>
        <v>0</v>
      </c>
      <c r="L434" s="192">
        <f>IF(H434&lt;=I434,1*N354*INPUT!AO20,IF(H434&lt;=J434,MIN(1*(1-(1-MAX(MIN(0.7*INPUT!AO20,INPUT!AQ20),0.5*INPUT!AO20)/N354/INPUT!AO20)*((H434-I434)/(J434-I434)))*1*N354*INPUT!AO20,1*N354*INPUT!AO20),MIN(K434,1*N354*INPUT!AO20)))</f>
        <v>0</v>
      </c>
      <c r="M434" s="194" t="str">
        <f>IF(C434="BF","BF",MIN(G434,L434))</f>
        <v>BF</v>
      </c>
    </row>
    <row r="435">
      <c r="A435" s="182">
        <f>A355</f>
        <v>101</v>
      </c>
      <c r="B435" s="131" t="str">
        <f>D192</f>
        <v>Negative</v>
      </c>
      <c r="C435" s="195" t="str">
        <f>IF(B435="Positive",IF(G355=2,"OF","BF"),"BF")</f>
        <v>BF</v>
      </c>
      <c r="D435" s="179">
        <f>H355/2/D355</f>
        <v>11.363636363636363</v>
      </c>
      <c r="E435" s="192">
        <f>0.38*SQRT(INPUT!$B$2/INPUT!AO21)</f>
        <v>0</v>
      </c>
      <c r="F435" s="192">
        <f>0.56*SQRT(INPUT!$B$2/MAX(MIN(0.7*INPUT!AO21,INPUT!AQ21),0.5*INPUT!AO21))</f>
        <v>0</v>
      </c>
      <c r="G435" s="192" t="e">
        <f>IF(D435&lt;=E435,1*N355*INPUT!AO21,(1-(1-MAX(MIN(0.7*INPUT!AO21,INPUT!AQ21),0.5*INPUT!AO21)/N355/INPUT!AO21)*((D435-E435)/(F435-E435)))*1*N355*INPUT!AO21)</f>
        <v>#DIV/0!</v>
      </c>
      <c r="H435" s="188">
        <f>B112</f>
        <v>3175</v>
      </c>
      <c r="I435" s="196">
        <f>J192</f>
        <v>0</v>
      </c>
      <c r="J435" s="174">
        <f>PI()*F192*SQRT(INPUT!$B$2/MAX(MIN(0.7*INPUT!AO21,INPUT!AQ21),0.5*INPUT!AO21))</f>
        <v>0</v>
      </c>
      <c r="K435" s="191">
        <f>1*1*(PI()^2)*INPUT!$B$2/(H435/F192)^2</f>
        <v>0</v>
      </c>
      <c r="L435" s="192">
        <f>IF(H435&lt;=I435,1*N355*INPUT!AO21,IF(H435&lt;=J435,MIN(1*(1-(1-MAX(MIN(0.7*INPUT!AO21,INPUT!AQ21),0.5*INPUT!AO21)/N355/INPUT!AO21)*((H435-I435)/(J435-I435)))*1*N355*INPUT!AO21,1*N355*INPUT!AO21),MIN(K435,1*N355*INPUT!AO21)))</f>
        <v>0</v>
      </c>
      <c r="M435" s="194" t="str">
        <f>IF(C435="BF","BF",MIN(G435,L435))</f>
        <v>BF</v>
      </c>
    </row>
    <row r="436">
      <c r="A436" s="182">
        <f>A356</f>
        <v>101</v>
      </c>
      <c r="B436" s="131" t="str">
        <f>D193</f>
        <v>Negative</v>
      </c>
      <c r="C436" s="195" t="str">
        <f>IF(B436="Positive",IF(G356=2,"OF","BF"),"BF")</f>
        <v>BF</v>
      </c>
      <c r="D436" s="179">
        <f>H356/2/D356</f>
        <v>11.363636363636363</v>
      </c>
      <c r="E436" s="192">
        <f>0.38*SQRT(INPUT!$B$2/INPUT!AO22)</f>
        <v>0</v>
      </c>
      <c r="F436" s="192">
        <f>0.56*SQRT(INPUT!$B$2/MAX(MIN(0.7*INPUT!AO22,INPUT!AQ22),0.5*INPUT!AO22))</f>
        <v>0</v>
      </c>
      <c r="G436" s="192" t="e">
        <f>IF(D436&lt;=E436,1*N356*INPUT!AO22,(1-(1-MAX(MIN(0.7*INPUT!AO22,INPUT!AQ22),0.5*INPUT!AO22)/N356/INPUT!AO22)*((D436-E436)/(F436-E436)))*1*N356*INPUT!AO22)</f>
        <v>#DIV/0!</v>
      </c>
      <c r="H436" s="188">
        <f>B113</f>
        <v>3175</v>
      </c>
      <c r="I436" s="196">
        <f>J193</f>
        <v>0</v>
      </c>
      <c r="J436" s="174">
        <f>PI()*F193*SQRT(INPUT!$B$2/MAX(MIN(0.7*INPUT!AO22,INPUT!AQ22),0.5*INPUT!AO22))</f>
        <v>0</v>
      </c>
      <c r="K436" s="191">
        <f>1*1*(PI()^2)*INPUT!$B$2/(H436/F193)^2</f>
        <v>0</v>
      </c>
      <c r="L436" s="192">
        <f>IF(H436&lt;=I436,1*N356*INPUT!AO22,IF(H436&lt;=J436,MIN(1*(1-(1-MAX(MIN(0.7*INPUT!AO22,INPUT!AQ22),0.5*INPUT!AO22)/N356/INPUT!AO22)*((H436-I436)/(J436-I436)))*1*N356*INPUT!AO22,1*N356*INPUT!AO22),MIN(K436,1*N356*INPUT!AO22)))</f>
        <v>0</v>
      </c>
      <c r="M436" s="194" t="str">
        <f>IF(C436="BF","BF",MIN(G436,L436))</f>
        <v>BF</v>
      </c>
    </row>
    <row r="437">
      <c r="A437" s="182">
        <f>A357</f>
        <v>101</v>
      </c>
      <c r="B437" s="131" t="str">
        <f>D194</f>
        <v>Negative</v>
      </c>
      <c r="C437" s="195" t="str">
        <f>IF(B437="Positive",IF(G357=2,"OF","BF"),"BF")</f>
        <v>BF</v>
      </c>
      <c r="D437" s="179">
        <f>H357/2/D357</f>
        <v>11.363636363636363</v>
      </c>
      <c r="E437" s="192">
        <f>0.38*SQRT(INPUT!$B$2/INPUT!AO23)</f>
        <v>0</v>
      </c>
      <c r="F437" s="192">
        <f>0.56*SQRT(INPUT!$B$2/MAX(MIN(0.7*INPUT!AO23,INPUT!AQ23),0.5*INPUT!AO23))</f>
        <v>0</v>
      </c>
      <c r="G437" s="192" t="e">
        <f>IF(D437&lt;=E437,1*N357*INPUT!AO23,(1-(1-MAX(MIN(0.7*INPUT!AO23,INPUT!AQ23),0.5*INPUT!AO23)/N357/INPUT!AO23)*((D437-E437)/(F437-E437)))*1*N357*INPUT!AO23)</f>
        <v>#DIV/0!</v>
      </c>
      <c r="H437" s="188">
        <f>B114</f>
        <v>3175</v>
      </c>
      <c r="I437" s="196">
        <f>J194</f>
        <v>0</v>
      </c>
      <c r="J437" s="174">
        <f>PI()*F194*SQRT(INPUT!$B$2/MAX(MIN(0.7*INPUT!AO23,INPUT!AQ23),0.5*INPUT!AO23))</f>
        <v>0</v>
      </c>
      <c r="K437" s="191">
        <f>1*1*(PI()^2)*INPUT!$B$2/(H437/F194)^2</f>
        <v>0</v>
      </c>
      <c r="L437" s="192">
        <f>IF(H437&lt;=I437,1*N357*INPUT!AO23,IF(H437&lt;=J437,MIN(1*(1-(1-MAX(MIN(0.7*INPUT!AO23,INPUT!AQ23),0.5*INPUT!AO23)/N357/INPUT!AO23)*((H437-I437)/(J437-I437)))*1*N357*INPUT!AO23,1*N357*INPUT!AO23),MIN(K437,1*N357*INPUT!AO23)))</f>
        <v>0</v>
      </c>
      <c r="M437" s="194" t="str">
        <f>IF(C437="BF","BF",MIN(G437,L437))</f>
        <v>BF</v>
      </c>
    </row>
    <row r="438">
      <c r="A438" s="182">
        <f>A358</f>
        <v>101</v>
      </c>
      <c r="B438" s="131" t="str">
        <f>D195</f>
        <v>Negative</v>
      </c>
      <c r="C438" s="195" t="str">
        <f>IF(B438="Positive",IF(G358=2,"OF","BF"),"BF")</f>
        <v>BF</v>
      </c>
      <c r="D438" s="179">
        <f>H358/2/D358</f>
        <v>11.363636363636363</v>
      </c>
      <c r="E438" s="192">
        <f>0.38*SQRT(INPUT!$B$2/INPUT!AO24)</f>
        <v>0</v>
      </c>
      <c r="F438" s="192">
        <f>0.56*SQRT(INPUT!$B$2/MAX(MIN(0.7*INPUT!AO24,INPUT!AQ24),0.5*INPUT!AO24))</f>
        <v>0</v>
      </c>
      <c r="G438" s="192" t="e">
        <f>IF(D438&lt;=E438,1*N358*INPUT!AO24,(1-(1-MAX(MIN(0.7*INPUT!AO24,INPUT!AQ24),0.5*INPUT!AO24)/N358/INPUT!AO24)*((D438-E438)/(F438-E438)))*1*N358*INPUT!AO24)</f>
        <v>#DIV/0!</v>
      </c>
      <c r="H438" s="188">
        <f>B115</f>
        <v>3175</v>
      </c>
      <c r="I438" s="196">
        <f>J195</f>
        <v>0</v>
      </c>
      <c r="J438" s="174">
        <f>PI()*F195*SQRT(INPUT!$B$2/MAX(MIN(0.7*INPUT!AO24,INPUT!AQ24),0.5*INPUT!AO24))</f>
        <v>0</v>
      </c>
      <c r="K438" s="191">
        <f>1*1*(PI()^2)*INPUT!$B$2/(H438/F195)^2</f>
        <v>0</v>
      </c>
      <c r="L438" s="192">
        <f>IF(H438&lt;=I438,1*N358*INPUT!AO24,IF(H438&lt;=J438,MIN(1*(1-(1-MAX(MIN(0.7*INPUT!AO24,INPUT!AQ24),0.5*INPUT!AO24)/N358/INPUT!AO24)*((H438-I438)/(J438-I438)))*1*N358*INPUT!AO24,1*N358*INPUT!AO24),MIN(K438,1*N358*INPUT!AO24)))</f>
        <v>0</v>
      </c>
      <c r="M438" s="194" t="str">
        <f>IF(C438="BF","BF",MIN(G438,L438))</f>
        <v>BF</v>
      </c>
    </row>
    <row r="439">
      <c r="A439" s="182">
        <f>A359</f>
        <v>101</v>
      </c>
      <c r="B439" s="131" t="str">
        <f>D196</f>
        <v>Negative</v>
      </c>
      <c r="C439" s="195" t="str">
        <f>IF(B439="Positive",IF(G359=2,"OF","BF"),"BF")</f>
        <v>BF</v>
      </c>
      <c r="D439" s="179">
        <f>H359/2/D359</f>
        <v>11.363636363636363</v>
      </c>
      <c r="E439" s="192">
        <f>0.38*SQRT(INPUT!$B$2/INPUT!AO25)</f>
        <v>0</v>
      </c>
      <c r="F439" s="192">
        <f>0.56*SQRT(INPUT!$B$2/MAX(MIN(0.7*INPUT!AO25,INPUT!AQ25),0.5*INPUT!AO25))</f>
        <v>0</v>
      </c>
      <c r="G439" s="192" t="e">
        <f>IF(D439&lt;=E439,1*N359*INPUT!AO25,(1-(1-MAX(MIN(0.7*INPUT!AO25,INPUT!AQ25),0.5*INPUT!AO25)/N359/INPUT!AO25)*((D439-E439)/(F439-E439)))*1*N359*INPUT!AO25)</f>
        <v>#DIV/0!</v>
      </c>
      <c r="H439" s="188">
        <f>B116</f>
        <v>3175</v>
      </c>
      <c r="I439" s="196">
        <f>J196</f>
        <v>0</v>
      </c>
      <c r="J439" s="174">
        <f>PI()*F196*SQRT(INPUT!$B$2/MAX(MIN(0.7*INPUT!AO25,INPUT!AQ25),0.5*INPUT!AO25))</f>
        <v>0</v>
      </c>
      <c r="K439" s="191">
        <f>1*1*(PI()^2)*INPUT!$B$2/(H439/F196)^2</f>
        <v>0</v>
      </c>
      <c r="L439" s="192">
        <f>IF(H439&lt;=I439,1*N359*INPUT!AO25,IF(H439&lt;=J439,MIN(1*(1-(1-MAX(MIN(0.7*INPUT!AO25,INPUT!AQ25),0.5*INPUT!AO25)/N359/INPUT!AO25)*((H439-I439)/(J439-I439)))*1*N359*INPUT!AO25,1*N359*INPUT!AO25),MIN(K439,1*N359*INPUT!AO25)))</f>
        <v>0</v>
      </c>
      <c r="M439" s="194" t="str">
        <f>IF(C439="BF","BF",MIN(G439,L439))</f>
        <v>BF</v>
      </c>
    </row>
    <row r="440">
      <c r="A440" s="182">
        <f>A360</f>
        <v>101</v>
      </c>
      <c r="B440" s="131" t="str">
        <f>D197</f>
        <v>Negative</v>
      </c>
      <c r="C440" s="195" t="str">
        <f>IF(B440="Positive",IF(G360=2,"OF","BF"),"BF")</f>
        <v>BF</v>
      </c>
      <c r="D440" s="179">
        <f>H360/2/D360</f>
        <v>11.363636363636363</v>
      </c>
      <c r="E440" s="192">
        <f>0.38*SQRT(INPUT!$B$2/INPUT!AO26)</f>
        <v>0</v>
      </c>
      <c r="F440" s="192">
        <f>0.56*SQRT(INPUT!$B$2/MAX(MIN(0.7*INPUT!AO26,INPUT!AQ26),0.5*INPUT!AO26))</f>
        <v>0</v>
      </c>
      <c r="G440" s="192" t="e">
        <f>IF(D440&lt;=E440,1*N360*INPUT!AO26,(1-(1-MAX(MIN(0.7*INPUT!AO26,INPUT!AQ26),0.5*INPUT!AO26)/N360/INPUT!AO26)*((D440-E440)/(F440-E440)))*1*N360*INPUT!AO26)</f>
        <v>#DIV/0!</v>
      </c>
      <c r="H440" s="188">
        <f>B117</f>
        <v>3175</v>
      </c>
      <c r="I440" s="196">
        <f>J197</f>
        <v>0</v>
      </c>
      <c r="J440" s="174">
        <f>PI()*F197*SQRT(INPUT!$B$2/MAX(MIN(0.7*INPUT!AO26,INPUT!AQ26),0.5*INPUT!AO26))</f>
        <v>0</v>
      </c>
      <c r="K440" s="191">
        <f>1*1*(PI()^2)*INPUT!$B$2/(H440/F197)^2</f>
        <v>0</v>
      </c>
      <c r="L440" s="192">
        <f>IF(H440&lt;=I440,1*N360*INPUT!AO26,IF(H440&lt;=J440,MIN(1*(1-(1-MAX(MIN(0.7*INPUT!AO26,INPUT!AQ26),0.5*INPUT!AO26)/N360/INPUT!AO26)*((H440-I440)/(J440-I440)))*1*N360*INPUT!AO26,1*N360*INPUT!AO26),MIN(K440,1*N360*INPUT!AO26)))</f>
        <v>0</v>
      </c>
      <c r="M440" s="194" t="str">
        <f>IF(C440="BF","BF",MIN(G440,L440))</f>
        <v>BF</v>
      </c>
    </row>
    <row r="441">
      <c r="A441" s="182">
        <f>A361</f>
        <v>101</v>
      </c>
      <c r="B441" s="131" t="str">
        <f>D198</f>
        <v>Negative</v>
      </c>
      <c r="C441" s="195" t="str">
        <f>IF(B441="Positive",IF(G361=2,"OF","BF"),"BF")</f>
        <v>BF</v>
      </c>
      <c r="D441" s="179">
        <f>H361/2/D361</f>
        <v>11.363636363636363</v>
      </c>
      <c r="E441" s="192">
        <f>0.38*SQRT(INPUT!$B$2/INPUT!AO27)</f>
        <v>0</v>
      </c>
      <c r="F441" s="192">
        <f>0.56*SQRT(INPUT!$B$2/MAX(MIN(0.7*INPUT!AO27,INPUT!AQ27),0.5*INPUT!AO27))</f>
        <v>0</v>
      </c>
      <c r="G441" s="192" t="e">
        <f>IF(D441&lt;=E441,1*N361*INPUT!AO27,(1-(1-MAX(MIN(0.7*INPUT!AO27,INPUT!AQ27),0.5*INPUT!AO27)/N361/INPUT!AO27)*((D441-E441)/(F441-E441)))*1*N361*INPUT!AO27)</f>
        <v>#DIV/0!</v>
      </c>
      <c r="H441" s="188">
        <f>B118</f>
        <v>3175</v>
      </c>
      <c r="I441" s="196">
        <f>J198</f>
        <v>0</v>
      </c>
      <c r="J441" s="174">
        <f>PI()*F198*SQRT(INPUT!$B$2/MAX(MIN(0.7*INPUT!AO27,INPUT!AQ27),0.5*INPUT!AO27))</f>
        <v>0</v>
      </c>
      <c r="K441" s="191">
        <f>1*1*(PI()^2)*INPUT!$B$2/(H441/F198)^2</f>
        <v>0</v>
      </c>
      <c r="L441" s="192">
        <f>IF(H441&lt;=I441,1*N361*INPUT!AO27,IF(H441&lt;=J441,MIN(1*(1-(1-MAX(MIN(0.7*INPUT!AO27,INPUT!AQ27),0.5*INPUT!AO27)/N361/INPUT!AO27)*((H441-I441)/(J441-I441)))*1*N361*INPUT!AO27,1*N361*INPUT!AO27),MIN(K441,1*N361*INPUT!AO27)))</f>
        <v>0</v>
      </c>
      <c r="M441" s="194" t="str">
        <f>IF(C441="BF","BF",MIN(G441,L441))</f>
        <v>BF</v>
      </c>
    </row>
    <row r="442">
      <c r="A442" s="182">
        <f>A362</f>
        <v>101</v>
      </c>
      <c r="B442" s="131" t="str">
        <f>D199</f>
        <v>Negative</v>
      </c>
      <c r="C442" s="195" t="str">
        <f>IF(B442="Positive",IF(G362=2,"OF","BF"),"BF")</f>
        <v>BF</v>
      </c>
      <c r="D442" s="179">
        <f>H362/2/D362</f>
        <v>11.363636363636363</v>
      </c>
      <c r="E442" s="192">
        <f>0.38*SQRT(INPUT!$B$2/INPUT!AO28)</f>
        <v>0</v>
      </c>
      <c r="F442" s="192">
        <f>0.56*SQRT(INPUT!$B$2/MAX(MIN(0.7*INPUT!AO28,INPUT!AQ28),0.5*INPUT!AO28))</f>
        <v>0</v>
      </c>
      <c r="G442" s="192" t="e">
        <f>IF(D442&lt;=E442,1*N362*INPUT!AO28,(1-(1-MAX(MIN(0.7*INPUT!AO28,INPUT!AQ28),0.5*INPUT!AO28)/N362/INPUT!AO28)*((D442-E442)/(F442-E442)))*1*N362*INPUT!AO28)</f>
        <v>#DIV/0!</v>
      </c>
      <c r="H442" s="188">
        <f>B119</f>
        <v>3175</v>
      </c>
      <c r="I442" s="196">
        <f>J199</f>
        <v>0</v>
      </c>
      <c r="J442" s="174">
        <f>PI()*F199*SQRT(INPUT!$B$2/MAX(MIN(0.7*INPUT!AO28,INPUT!AQ28),0.5*INPUT!AO28))</f>
        <v>0</v>
      </c>
      <c r="K442" s="191">
        <f>1*1*(PI()^2)*INPUT!$B$2/(H442/F199)^2</f>
        <v>0</v>
      </c>
      <c r="L442" s="192">
        <f>IF(H442&lt;=I442,1*N362*INPUT!AO28,IF(H442&lt;=J442,MIN(1*(1-(1-MAX(MIN(0.7*INPUT!AO28,INPUT!AQ28),0.5*INPUT!AO28)/N362/INPUT!AO28)*((H442-I442)/(J442-I442)))*1*N362*INPUT!AO28,1*N362*INPUT!AO28),MIN(K442,1*N362*INPUT!AO28)))</f>
        <v>0</v>
      </c>
      <c r="M442" s="194" t="str">
        <f>IF(C442="BF","BF",MIN(G442,L442))</f>
        <v>BF</v>
      </c>
    </row>
    <row r="443">
      <c r="A443" s="182">
        <f>A363</f>
        <v>101</v>
      </c>
      <c r="B443" s="131" t="str">
        <f>D200</f>
        <v>Negative</v>
      </c>
      <c r="C443" s="195" t="str">
        <f>IF(B443="Positive",IF(G363=2,"OF","BF"),"BF")</f>
        <v>BF</v>
      </c>
      <c r="D443" s="179">
        <f>H363/2/D363</f>
        <v>11.363636363636363</v>
      </c>
      <c r="E443" s="192">
        <f>0.38*SQRT(INPUT!$B$2/INPUT!AO29)</f>
        <v>0</v>
      </c>
      <c r="F443" s="192">
        <f>0.56*SQRT(INPUT!$B$2/MAX(MIN(0.7*INPUT!AO29,INPUT!AQ29),0.5*INPUT!AO29))</f>
        <v>0</v>
      </c>
      <c r="G443" s="192" t="e">
        <f>IF(D443&lt;=E443,1*N363*INPUT!AO29,(1-(1-MAX(MIN(0.7*INPUT!AO29,INPUT!AQ29),0.5*INPUT!AO29)/N363/INPUT!AO29)*((D443-E443)/(F443-E443)))*1*N363*INPUT!AO29)</f>
        <v>#DIV/0!</v>
      </c>
      <c r="H443" s="188">
        <f>B120</f>
        <v>3175</v>
      </c>
      <c r="I443" s="196">
        <f>J200</f>
        <v>0</v>
      </c>
      <c r="J443" s="174">
        <f>PI()*F200*SQRT(INPUT!$B$2/MAX(MIN(0.7*INPUT!AO29,INPUT!AQ29),0.5*INPUT!AO29))</f>
        <v>0</v>
      </c>
      <c r="K443" s="191">
        <f>1*1*(PI()^2)*INPUT!$B$2/(H443/F200)^2</f>
        <v>0</v>
      </c>
      <c r="L443" s="192">
        <f>IF(H443&lt;=I443,1*N363*INPUT!AO29,IF(H443&lt;=J443,MIN(1*(1-(1-MAX(MIN(0.7*INPUT!AO29,INPUT!AQ29),0.5*INPUT!AO29)/N363/INPUT!AO29)*((H443-I443)/(J443-I443)))*1*N363*INPUT!AO29,1*N363*INPUT!AO29),MIN(K443,1*N363*INPUT!AO29)))</f>
        <v>0</v>
      </c>
      <c r="M443" s="194" t="str">
        <f>IF(C443="BF","BF",MIN(G443,L443))</f>
        <v>BF</v>
      </c>
    </row>
    <row r="444">
      <c r="A444" s="182">
        <f>A364</f>
        <v>101</v>
      </c>
      <c r="B444" s="131" t="str">
        <f>D201</f>
        <v>Negative</v>
      </c>
      <c r="C444" s="195" t="str">
        <f>IF(B444="Positive",IF(G364=2,"OF","BF"),"BF")</f>
        <v>BF</v>
      </c>
      <c r="D444" s="179">
        <f>H364/2/D364</f>
        <v>11.363636363636363</v>
      </c>
      <c r="E444" s="192">
        <f>0.38*SQRT(INPUT!$B$2/INPUT!AO30)</f>
        <v>0</v>
      </c>
      <c r="F444" s="192">
        <f>0.56*SQRT(INPUT!$B$2/MAX(MIN(0.7*INPUT!AO30,INPUT!AQ30),0.5*INPUT!AO30))</f>
        <v>0</v>
      </c>
      <c r="G444" s="192" t="e">
        <f>IF(D444&lt;=E444,1*N364*INPUT!AO30,(1-(1-MAX(MIN(0.7*INPUT!AO30,INPUT!AQ30),0.5*INPUT!AO30)/N364/INPUT!AO30)*((D444-E444)/(F444-E444)))*1*N364*INPUT!AO30)</f>
        <v>#DIV/0!</v>
      </c>
      <c r="H444" s="188">
        <f>B121</f>
        <v>3175</v>
      </c>
      <c r="I444" s="196">
        <f>J201</f>
        <v>0</v>
      </c>
      <c r="J444" s="174">
        <f>PI()*F201*SQRT(INPUT!$B$2/MAX(MIN(0.7*INPUT!AO30,INPUT!AQ30),0.5*INPUT!AO30))</f>
        <v>0</v>
      </c>
      <c r="K444" s="191">
        <f>1*1*(PI()^2)*INPUT!$B$2/(H444/F201)^2</f>
        <v>0</v>
      </c>
      <c r="L444" s="192">
        <f>IF(H444&lt;=I444,1*N364*INPUT!AO30,IF(H444&lt;=J444,MIN(1*(1-(1-MAX(MIN(0.7*INPUT!AO30,INPUT!AQ30),0.5*INPUT!AO30)/N364/INPUT!AO30)*((H444-I444)/(J444-I444)))*1*N364*INPUT!AO30,1*N364*INPUT!AO30),MIN(K444,1*N364*INPUT!AO30)))</f>
        <v>0</v>
      </c>
      <c r="M444" s="194" t="str">
        <f>IF(C444="BF","BF",MIN(G444,L444))</f>
        <v>BF</v>
      </c>
    </row>
    <row r="445">
      <c r="A445" s="182">
        <f>A365</f>
        <v>101</v>
      </c>
      <c r="B445" s="131" t="str">
        <f>D202</f>
        <v>Negative</v>
      </c>
      <c r="C445" s="195" t="str">
        <f>IF(B445="Positive",IF(G365=2,"OF","BF"),"BF")</f>
        <v>BF</v>
      </c>
      <c r="D445" s="179">
        <f>H365/2/D365</f>
        <v>11.363636363636363</v>
      </c>
      <c r="E445" s="192">
        <f>0.38*SQRT(INPUT!$B$2/INPUT!AO31)</f>
        <v>0</v>
      </c>
      <c r="F445" s="192">
        <f>0.56*SQRT(INPUT!$B$2/MAX(MIN(0.7*INPUT!AO31,INPUT!AQ31),0.5*INPUT!AO31))</f>
        <v>0</v>
      </c>
      <c r="G445" s="192" t="e">
        <f>IF(D445&lt;=E445,1*N365*INPUT!AO31,(1-(1-MAX(MIN(0.7*INPUT!AO31,INPUT!AQ31),0.5*INPUT!AO31)/N365/INPUT!AO31)*((D445-E445)/(F445-E445)))*1*N365*INPUT!AO31)</f>
        <v>#DIV/0!</v>
      </c>
      <c r="H445" s="188">
        <f>B122</f>
        <v>3175</v>
      </c>
      <c r="I445" s="196">
        <f>J202</f>
        <v>0</v>
      </c>
      <c r="J445" s="174">
        <f>PI()*F202*SQRT(INPUT!$B$2/MAX(MIN(0.7*INPUT!AO31,INPUT!AQ31),0.5*INPUT!AO31))</f>
        <v>0</v>
      </c>
      <c r="K445" s="191">
        <f>1*1*(PI()^2)*INPUT!$B$2/(H445/F202)^2</f>
        <v>0</v>
      </c>
      <c r="L445" s="192">
        <f>IF(H445&lt;=I445,1*N365*INPUT!AO31,IF(H445&lt;=J445,MIN(1*(1-(1-MAX(MIN(0.7*INPUT!AO31,INPUT!AQ31),0.5*INPUT!AO31)/N365/INPUT!AO31)*((H445-I445)/(J445-I445)))*1*N365*INPUT!AO31,1*N365*INPUT!AO31),MIN(K445,1*N365*INPUT!AO31)))</f>
        <v>0</v>
      </c>
      <c r="M445" s="194" t="str">
        <f>IF(C445="BF","BF",MIN(G445,L445))</f>
        <v>BF</v>
      </c>
    </row>
    <row r="446">
      <c r="A446" s="182">
        <f>A366</f>
        <v>101</v>
      </c>
      <c r="B446" s="131" t="str">
        <f>D203</f>
        <v>Negative</v>
      </c>
      <c r="C446" s="195" t="str">
        <f>IF(B446="Positive",IF(G366=2,"OF","BF"),"BF")</f>
        <v>BF</v>
      </c>
      <c r="D446" s="179">
        <f>H366/2/D366</f>
        <v>11.363636363636363</v>
      </c>
      <c r="E446" s="192">
        <f>0.38*SQRT(INPUT!$B$2/INPUT!AO32)</f>
        <v>0</v>
      </c>
      <c r="F446" s="192">
        <f>0.56*SQRT(INPUT!$B$2/MAX(MIN(0.7*INPUT!AO32,INPUT!AQ32),0.5*INPUT!AO32))</f>
        <v>0</v>
      </c>
      <c r="G446" s="192" t="e">
        <f>IF(D446&lt;=E446,1*N366*INPUT!AO32,(1-(1-MAX(MIN(0.7*INPUT!AO32,INPUT!AQ32),0.5*INPUT!AO32)/N366/INPUT!AO32)*((D446-E446)/(F446-E446)))*1*N366*INPUT!AO32)</f>
        <v>#DIV/0!</v>
      </c>
      <c r="H446" s="188">
        <f>B123</f>
        <v>3175</v>
      </c>
      <c r="I446" s="196">
        <f>J203</f>
        <v>0</v>
      </c>
      <c r="J446" s="174">
        <f>PI()*F203*SQRT(INPUT!$B$2/MAX(MIN(0.7*INPUT!AO32,INPUT!AQ32),0.5*INPUT!AO32))</f>
        <v>0</v>
      </c>
      <c r="K446" s="191">
        <f>1*1*(PI()^2)*INPUT!$B$2/(H446/F203)^2</f>
        <v>0</v>
      </c>
      <c r="L446" s="192">
        <f>IF(H446&lt;=I446,1*N366*INPUT!AO32,IF(H446&lt;=J446,MIN(1*(1-(1-MAX(MIN(0.7*INPUT!AO32,INPUT!AQ32),0.5*INPUT!AO32)/N366/INPUT!AO32)*((H446-I446)/(J446-I446)))*1*N366*INPUT!AO32,1*N366*INPUT!AO32),MIN(K446,1*N366*INPUT!AO32)))</f>
        <v>0</v>
      </c>
      <c r="M446" s="194" t="str">
        <f>IF(C446="BF","BF",MIN(G446,L446))</f>
        <v>BF</v>
      </c>
    </row>
    <row r="447">
      <c r="A447" s="182">
        <f>A367</f>
        <v>101</v>
      </c>
      <c r="B447" s="131" t="str">
        <f>D204</f>
        <v>Negative</v>
      </c>
      <c r="C447" s="195" t="str">
        <f>IF(B447="Positive",IF(G367=2,"OF","BF"),"BF")</f>
        <v>BF</v>
      </c>
      <c r="D447" s="179">
        <f>H367/2/D367</f>
        <v>11.363636363636363</v>
      </c>
      <c r="E447" s="192">
        <f>0.38*SQRT(INPUT!$B$2/INPUT!AO33)</f>
        <v>0</v>
      </c>
      <c r="F447" s="192">
        <f>0.56*SQRT(INPUT!$B$2/MAX(MIN(0.7*INPUT!AO33,INPUT!AQ33),0.5*INPUT!AO33))</f>
        <v>0</v>
      </c>
      <c r="G447" s="192" t="e">
        <f>IF(D447&lt;=E447,1*N367*INPUT!AO33,(1-(1-MAX(MIN(0.7*INPUT!AO33,INPUT!AQ33),0.5*INPUT!AO33)/N367/INPUT!AO33)*((D447-E447)/(F447-E447)))*1*N367*INPUT!AO33)</f>
        <v>#DIV/0!</v>
      </c>
      <c r="H447" s="188">
        <f>B124</f>
        <v>3175</v>
      </c>
      <c r="I447" s="196">
        <f>J204</f>
        <v>0</v>
      </c>
      <c r="J447" s="174">
        <f>PI()*F204*SQRT(INPUT!$B$2/MAX(MIN(0.7*INPUT!AO33,INPUT!AQ33),0.5*INPUT!AO33))</f>
        <v>0</v>
      </c>
      <c r="K447" s="191">
        <f>1*1*(PI()^2)*INPUT!$B$2/(H447/F204)^2</f>
        <v>0</v>
      </c>
      <c r="L447" s="192">
        <f>IF(H447&lt;=I447,1*N367*INPUT!AO33,IF(H447&lt;=J447,MIN(1*(1-(1-MAX(MIN(0.7*INPUT!AO33,INPUT!AQ33),0.5*INPUT!AO33)/N367/INPUT!AO33)*((H447-I447)/(J447-I447)))*1*N367*INPUT!AO33,1*N367*INPUT!AO33),MIN(K447,1*N367*INPUT!AO33)))</f>
        <v>0</v>
      </c>
      <c r="M447" s="194" t="str">
        <f>IF(C447="BF","BF",MIN(G447,L447))</f>
        <v>BF</v>
      </c>
    </row>
    <row r="448">
      <c r="A448" s="182">
        <f>A368</f>
        <v>101</v>
      </c>
      <c r="B448" s="131" t="str">
        <f>D205</f>
        <v>Negative</v>
      </c>
      <c r="C448" s="195" t="str">
        <f>IF(B448="Positive",IF(G368=2,"OF","BF"),"BF")</f>
        <v>BF</v>
      </c>
      <c r="D448" s="179">
        <f>H368/2/D368</f>
        <v>11.363636363636363</v>
      </c>
      <c r="E448" s="192">
        <f>0.38*SQRT(INPUT!$B$2/INPUT!AO34)</f>
        <v>0</v>
      </c>
      <c r="F448" s="192">
        <f>0.56*SQRT(INPUT!$B$2/MAX(MIN(0.7*INPUT!AO34,INPUT!AQ34),0.5*INPUT!AO34))</f>
        <v>0</v>
      </c>
      <c r="G448" s="192" t="e">
        <f>IF(D448&lt;=E448,1*N368*INPUT!AO34,(1-(1-MAX(MIN(0.7*INPUT!AO34,INPUT!AQ34),0.5*INPUT!AO34)/N368/INPUT!AO34)*((D448-E448)/(F448-E448)))*1*N368*INPUT!AO34)</f>
        <v>#DIV/0!</v>
      </c>
      <c r="H448" s="188">
        <f>B125</f>
        <v>3175</v>
      </c>
      <c r="I448" s="196">
        <f>J205</f>
        <v>0</v>
      </c>
      <c r="J448" s="174">
        <f>PI()*F205*SQRT(INPUT!$B$2/MAX(MIN(0.7*INPUT!AO34,INPUT!AQ34),0.5*INPUT!AO34))</f>
        <v>0</v>
      </c>
      <c r="K448" s="191">
        <f>1*1*(PI()^2)*INPUT!$B$2/(H448/F205)^2</f>
        <v>0</v>
      </c>
      <c r="L448" s="192">
        <f>IF(H448&lt;=I448,1*N368*INPUT!AO34,IF(H448&lt;=J448,MIN(1*(1-(1-MAX(MIN(0.7*INPUT!AO34,INPUT!AQ34),0.5*INPUT!AO34)/N368/INPUT!AO34)*((H448-I448)/(J448-I448)))*1*N368*INPUT!AO34,1*N368*INPUT!AO34),MIN(K448,1*N368*INPUT!AO34)))</f>
        <v>0</v>
      </c>
      <c r="M448" s="194" t="str">
        <f>IF(C448="BF","BF",MIN(G448,L448))</f>
        <v>BF</v>
      </c>
    </row>
    <row r="449">
      <c r="A449" s="182">
        <f>A369</f>
        <v>101</v>
      </c>
      <c r="B449" s="131" t="str">
        <f>D206</f>
        <v>Negative</v>
      </c>
      <c r="C449" s="195" t="str">
        <f>IF(B449="Positive",IF(G369=2,"OF","BF"),"BF")</f>
        <v>BF</v>
      </c>
      <c r="D449" s="179">
        <f>H369/2/D369</f>
        <v>11.363636363636363</v>
      </c>
      <c r="E449" s="192">
        <f>0.38*SQRT(INPUT!$B$2/INPUT!AO35)</f>
        <v>0</v>
      </c>
      <c r="F449" s="192">
        <f>0.56*SQRT(INPUT!$B$2/MAX(MIN(0.7*INPUT!AO35,INPUT!AQ35),0.5*INPUT!AO35))</f>
        <v>0</v>
      </c>
      <c r="G449" s="192" t="e">
        <f>IF(D449&lt;=E449,1*N369*INPUT!AO35,(1-(1-MAX(MIN(0.7*INPUT!AO35,INPUT!AQ35),0.5*INPUT!AO35)/N369/INPUT!AO35)*((D449-E449)/(F449-E449)))*1*N369*INPUT!AO35)</f>
        <v>#DIV/0!</v>
      </c>
      <c r="H449" s="188">
        <f>B126</f>
        <v>3175</v>
      </c>
      <c r="I449" s="196">
        <f>J206</f>
        <v>0</v>
      </c>
      <c r="J449" s="174">
        <f>PI()*F206*SQRT(INPUT!$B$2/MAX(MIN(0.7*INPUT!AO35,INPUT!AQ35),0.5*INPUT!AO35))</f>
        <v>0</v>
      </c>
      <c r="K449" s="191">
        <f>1*1*(PI()^2)*INPUT!$B$2/(H449/F206)^2</f>
        <v>0</v>
      </c>
      <c r="L449" s="192">
        <f>IF(H449&lt;=I449,1*N369*INPUT!AO35,IF(H449&lt;=J449,MIN(1*(1-(1-MAX(MIN(0.7*INPUT!AO35,INPUT!AQ35),0.5*INPUT!AO35)/N369/INPUT!AO35)*((H449-I449)/(J449-I449)))*1*N369*INPUT!AO35,1*N369*INPUT!AO35),MIN(K449,1*N369*INPUT!AO35)))</f>
        <v>0</v>
      </c>
      <c r="M449" s="194" t="str">
        <f>IF(C449="BF","BF",MIN(G449,L449))</f>
        <v>BF</v>
      </c>
    </row>
    <row r="450">
      <c r="A450" s="182">
        <f>A370</f>
        <v>101</v>
      </c>
      <c r="B450" s="131" t="str">
        <f>D207</f>
        <v>Negative</v>
      </c>
      <c r="C450" s="195" t="str">
        <f>IF(B450="Positive",IF(G370=2,"OF","BF"),"BF")</f>
        <v>BF</v>
      </c>
      <c r="D450" s="179">
        <f>H370/2/D370</f>
        <v>11.363636363636363</v>
      </c>
      <c r="E450" s="192">
        <f>0.38*SQRT(INPUT!$B$2/INPUT!AO36)</f>
        <v>0</v>
      </c>
      <c r="F450" s="192">
        <f>0.56*SQRT(INPUT!$B$2/MAX(MIN(0.7*INPUT!AO36,INPUT!AQ36),0.5*INPUT!AO36))</f>
        <v>0</v>
      </c>
      <c r="G450" s="192" t="e">
        <f>IF(D450&lt;=E450,1*N370*INPUT!AO36,(1-(1-MAX(MIN(0.7*INPUT!AO36,INPUT!AQ36),0.5*INPUT!AO36)/N370/INPUT!AO36)*((D450-E450)/(F450-E450)))*1*N370*INPUT!AO36)</f>
        <v>#DIV/0!</v>
      </c>
      <c r="H450" s="188">
        <f>B127</f>
        <v>3175</v>
      </c>
      <c r="I450" s="196">
        <f>J207</f>
        <v>0</v>
      </c>
      <c r="J450" s="174">
        <f>PI()*F207*SQRT(INPUT!$B$2/MAX(MIN(0.7*INPUT!AO36,INPUT!AQ36),0.5*INPUT!AO36))</f>
        <v>0</v>
      </c>
      <c r="K450" s="191">
        <f>1*1*(PI()^2)*INPUT!$B$2/(H450/F207)^2</f>
        <v>0</v>
      </c>
      <c r="L450" s="192">
        <f>IF(H450&lt;=I450,1*N370*INPUT!AO36,IF(H450&lt;=J450,MIN(1*(1-(1-MAX(MIN(0.7*INPUT!AO36,INPUT!AQ36),0.5*INPUT!AO36)/N370/INPUT!AO36)*((H450-I450)/(J450-I450)))*1*N370*INPUT!AO36,1*N370*INPUT!AO36),MIN(K450,1*N370*INPUT!AO36)))</f>
        <v>0</v>
      </c>
      <c r="M450" s="194" t="str">
        <f>IF(C450="BF","BF",MIN(G450,L450))</f>
        <v>BF</v>
      </c>
    </row>
    <row r="451">
      <c r="A451" s="182">
        <f>A371</f>
        <v>101</v>
      </c>
      <c r="B451" s="131" t="str">
        <f>D208</f>
        <v>Negative</v>
      </c>
      <c r="C451" s="195" t="str">
        <f>IF(B451="Positive",IF(G371=2,"OF","BF"),"BF")</f>
        <v>BF</v>
      </c>
      <c r="D451" s="179">
        <f>H371/2/D371</f>
        <v>11.363636363636363</v>
      </c>
      <c r="E451" s="192">
        <f>0.38*SQRT(INPUT!$B$2/INPUT!AO37)</f>
        <v>0</v>
      </c>
      <c r="F451" s="192">
        <f>0.56*SQRT(INPUT!$B$2/MAX(MIN(0.7*INPUT!AO37,INPUT!AQ37),0.5*INPUT!AO37))</f>
        <v>0</v>
      </c>
      <c r="G451" s="192" t="e">
        <f>IF(D451&lt;=E451,1*N371*INPUT!AO37,(1-(1-MAX(MIN(0.7*INPUT!AO37,INPUT!AQ37),0.5*INPUT!AO37)/N371/INPUT!AO37)*((D451-E451)/(F451-E451)))*1*N371*INPUT!AO37)</f>
        <v>#DIV/0!</v>
      </c>
      <c r="H451" s="188">
        <f>B128</f>
        <v>3175</v>
      </c>
      <c r="I451" s="196">
        <f>J208</f>
        <v>0</v>
      </c>
      <c r="J451" s="174">
        <f>PI()*F208*SQRT(INPUT!$B$2/MAX(MIN(0.7*INPUT!AO37,INPUT!AQ37),0.5*INPUT!AO37))</f>
        <v>0</v>
      </c>
      <c r="K451" s="191">
        <f>1*1*(PI()^2)*INPUT!$B$2/(H451/F208)^2</f>
        <v>0</v>
      </c>
      <c r="L451" s="192">
        <f>IF(H451&lt;=I451,1*N371*INPUT!AO37,IF(H451&lt;=J451,MIN(1*(1-(1-MAX(MIN(0.7*INPUT!AO37,INPUT!AQ37),0.5*INPUT!AO37)/N371/INPUT!AO37)*((H451-I451)/(J451-I451)))*1*N371*INPUT!AO37,1*N371*INPUT!AO37),MIN(K451,1*N371*INPUT!AO37)))</f>
        <v>0</v>
      </c>
      <c r="M451" s="194" t="str">
        <f>IF(C451="BF","BF",MIN(G451,L451))</f>
        <v>BF</v>
      </c>
    </row>
    <row r="452">
      <c r="A452" s="182">
        <f>A372</f>
        <v>101</v>
      </c>
      <c r="B452" s="131" t="str">
        <f>D209</f>
        <v>Negative</v>
      </c>
      <c r="C452" s="195" t="str">
        <f>IF(B452="Positive",IF(G372=2,"OF","BF"),"BF")</f>
        <v>BF</v>
      </c>
      <c r="D452" s="179">
        <f>H372/2/D372</f>
        <v>11.363636363636363</v>
      </c>
      <c r="E452" s="192">
        <f>0.38*SQRT(INPUT!$B$2/INPUT!AO38)</f>
        <v>0</v>
      </c>
      <c r="F452" s="192">
        <f>0.56*SQRT(INPUT!$B$2/MAX(MIN(0.7*INPUT!AO38,INPUT!AQ38),0.5*INPUT!AO38))</f>
        <v>0</v>
      </c>
      <c r="G452" s="192" t="e">
        <f>IF(D452&lt;=E452,1*N372*INPUT!AO38,(1-(1-MAX(MIN(0.7*INPUT!AO38,INPUT!AQ38),0.5*INPUT!AO38)/N372/INPUT!AO38)*((D452-E452)/(F452-E452)))*1*N372*INPUT!AO38)</f>
        <v>#DIV/0!</v>
      </c>
      <c r="H452" s="188">
        <f>B129</f>
        <v>3175</v>
      </c>
      <c r="I452" s="196">
        <f>J209</f>
        <v>0</v>
      </c>
      <c r="J452" s="174">
        <f>PI()*F209*SQRT(INPUT!$B$2/MAX(MIN(0.7*INPUT!AO38,INPUT!AQ38),0.5*INPUT!AO38))</f>
        <v>0</v>
      </c>
      <c r="K452" s="191">
        <f>1*1*(PI()^2)*INPUT!$B$2/(H452/F209)^2</f>
        <v>0</v>
      </c>
      <c r="L452" s="192">
        <f>IF(H452&lt;=I452,1*N372*INPUT!AO38,IF(H452&lt;=J452,MIN(1*(1-(1-MAX(MIN(0.7*INPUT!AO38,INPUT!AQ38),0.5*INPUT!AO38)/N372/INPUT!AO38)*((H452-I452)/(J452-I452)))*1*N372*INPUT!AO38,1*N372*INPUT!AO38),MIN(K452,1*N372*INPUT!AO38)))</f>
        <v>0</v>
      </c>
      <c r="M452" s="194" t="str">
        <f>IF(C452="BF","BF",MIN(G452,L452))</f>
        <v>BF</v>
      </c>
    </row>
    <row r="453">
      <c r="A453" s="182">
        <f>A373</f>
        <v>101</v>
      </c>
      <c r="B453" s="131" t="str">
        <f>D210</f>
        <v>Negative</v>
      </c>
      <c r="C453" s="195" t="str">
        <f>IF(B453="Positive",IF(G373=2,"OF","BF"),"BF")</f>
        <v>BF</v>
      </c>
      <c r="D453" s="179">
        <f>H373/2/D373</f>
        <v>11.363636363636363</v>
      </c>
      <c r="E453" s="192">
        <f>0.38*SQRT(INPUT!$B$2/INPUT!AO39)</f>
        <v>0</v>
      </c>
      <c r="F453" s="192">
        <f>0.56*SQRT(INPUT!$B$2/MAX(MIN(0.7*INPUT!AO39,INPUT!AQ39),0.5*INPUT!AO39))</f>
        <v>0</v>
      </c>
      <c r="G453" s="192" t="e">
        <f>IF(D453&lt;=E453,1*N373*INPUT!AO39,(1-(1-MAX(MIN(0.7*INPUT!AO39,INPUT!AQ39),0.5*INPUT!AO39)/N373/INPUT!AO39)*((D453-E453)/(F453-E453)))*1*N373*INPUT!AO39)</f>
        <v>#DIV/0!</v>
      </c>
      <c r="H453" s="188">
        <f>B130</f>
        <v>3175</v>
      </c>
      <c r="I453" s="196">
        <f>J210</f>
        <v>0</v>
      </c>
      <c r="J453" s="174">
        <f>PI()*F210*SQRT(INPUT!$B$2/MAX(MIN(0.7*INPUT!AO39,INPUT!AQ39),0.5*INPUT!AO39))</f>
        <v>0</v>
      </c>
      <c r="K453" s="191">
        <f>1*1*(PI()^2)*INPUT!$B$2/(H453/F210)^2</f>
        <v>0</v>
      </c>
      <c r="L453" s="192">
        <f>IF(H453&lt;=I453,1*N373*INPUT!AO39,IF(H453&lt;=J453,MIN(1*(1-(1-MAX(MIN(0.7*INPUT!AO39,INPUT!AQ39),0.5*INPUT!AO39)/N373/INPUT!AO39)*((H453-I453)/(J453-I453)))*1*N373*INPUT!AO39,1*N373*INPUT!AO39),MIN(K453,1*N373*INPUT!AO39)))</f>
        <v>0</v>
      </c>
      <c r="M453" s="194" t="str">
        <f>IF(C453="BF","BF",MIN(G453,L453))</f>
        <v>BF</v>
      </c>
    </row>
    <row r="454">
      <c r="A454" s="182">
        <f>A374</f>
        <v>101</v>
      </c>
      <c r="B454" s="131" t="str">
        <f>D211</f>
        <v>Negative</v>
      </c>
      <c r="C454" s="195" t="str">
        <f>IF(B454="Positive",IF(G374=2,"OF","BF"),"BF")</f>
        <v>BF</v>
      </c>
      <c r="D454" s="179">
        <f>H374/2/D374</f>
        <v>11.363636363636363</v>
      </c>
      <c r="E454" s="192">
        <f>0.38*SQRT(INPUT!$B$2/INPUT!AO40)</f>
        <v>0</v>
      </c>
      <c r="F454" s="192">
        <f>0.56*SQRT(INPUT!$B$2/MAX(MIN(0.7*INPUT!AO40,INPUT!AQ40),0.5*INPUT!AO40))</f>
        <v>0</v>
      </c>
      <c r="G454" s="192" t="e">
        <f>IF(D454&lt;=E454,1*N374*INPUT!AO40,(1-(1-MAX(MIN(0.7*INPUT!AO40,INPUT!AQ40),0.5*INPUT!AO40)/N374/INPUT!AO40)*((D454-E454)/(F454-E454)))*1*N374*INPUT!AO40)</f>
        <v>#DIV/0!</v>
      </c>
      <c r="H454" s="188">
        <f>B131</f>
        <v>3175</v>
      </c>
      <c r="I454" s="196">
        <f>J211</f>
        <v>0</v>
      </c>
      <c r="J454" s="174">
        <f>PI()*F211*SQRT(INPUT!$B$2/MAX(MIN(0.7*INPUT!AO40,INPUT!AQ40),0.5*INPUT!AO40))</f>
        <v>0</v>
      </c>
      <c r="K454" s="191">
        <f>1*1*(PI()^2)*INPUT!$B$2/(H454/F211)^2</f>
        <v>0</v>
      </c>
      <c r="L454" s="192">
        <f>IF(H454&lt;=I454,1*N374*INPUT!AO40,IF(H454&lt;=J454,MIN(1*(1-(1-MAX(MIN(0.7*INPUT!AO40,INPUT!AQ40),0.5*INPUT!AO40)/N374/INPUT!AO40)*((H454-I454)/(J454-I454)))*1*N374*INPUT!AO40,1*N374*INPUT!AO40),MIN(K454,1*N374*INPUT!AO40)))</f>
        <v>0</v>
      </c>
      <c r="M454" s="194" t="str">
        <f>IF(C454="BF","BF",MIN(G454,L454))</f>
        <v>BF</v>
      </c>
    </row>
    <row r="455">
      <c r="A455" s="182">
        <f>A375</f>
        <v>101</v>
      </c>
      <c r="B455" s="131" t="str">
        <f>D212</f>
        <v>Negative</v>
      </c>
      <c r="C455" s="195" t="str">
        <f>IF(B455="Positive",IF(G375=2,"OF","BF"),"BF")</f>
        <v>BF</v>
      </c>
      <c r="D455" s="179">
        <f>H375/2/D375</f>
        <v>11.363636363636363</v>
      </c>
      <c r="E455" s="192">
        <f>0.38*SQRT(INPUT!$B$2/INPUT!AO41)</f>
        <v>0</v>
      </c>
      <c r="F455" s="192">
        <f>0.56*SQRT(INPUT!$B$2/MAX(MIN(0.7*INPUT!AO41,INPUT!AQ41),0.5*INPUT!AO41))</f>
        <v>0</v>
      </c>
      <c r="G455" s="192" t="e">
        <f>IF(D455&lt;=E455,1*N375*INPUT!AO41,(1-(1-MAX(MIN(0.7*INPUT!AO41,INPUT!AQ41),0.5*INPUT!AO41)/N375/INPUT!AO41)*((D455-E455)/(F455-E455)))*1*N375*INPUT!AO41)</f>
        <v>#DIV/0!</v>
      </c>
      <c r="H455" s="188">
        <f>B132</f>
        <v>3175</v>
      </c>
      <c r="I455" s="196">
        <f>J212</f>
        <v>0</v>
      </c>
      <c r="J455" s="174">
        <f>PI()*F212*SQRT(INPUT!$B$2/MAX(MIN(0.7*INPUT!AO41,INPUT!AQ41),0.5*INPUT!AO41))</f>
        <v>0</v>
      </c>
      <c r="K455" s="191">
        <f>1*1*(PI()^2)*INPUT!$B$2/(H455/F212)^2</f>
        <v>0</v>
      </c>
      <c r="L455" s="192">
        <f>IF(H455&lt;=I455,1*N375*INPUT!AO41,IF(H455&lt;=J455,MIN(1*(1-(1-MAX(MIN(0.7*INPUT!AO41,INPUT!AQ41),0.5*INPUT!AO41)/N375/INPUT!AO41)*((H455-I455)/(J455-I455)))*1*N375*INPUT!AO41,1*N375*INPUT!AO41),MIN(K455,1*N375*INPUT!AO41)))</f>
        <v>0</v>
      </c>
      <c r="M455" s="194" t="str">
        <f>IF(C455="BF","BF",MIN(G455,L455))</f>
        <v>BF</v>
      </c>
    </row>
    <row r="456">
      <c r="A456" s="182">
        <f>A376</f>
        <v>101</v>
      </c>
      <c r="B456" s="131" t="str">
        <f>D213</f>
        <v>Negative</v>
      </c>
      <c r="C456" s="195" t="str">
        <f>IF(B456="Positive",IF(G376=2,"OF","BF"),"BF")</f>
        <v>BF</v>
      </c>
      <c r="D456" s="179">
        <f>H376/2/D376</f>
        <v>11.363636363636363</v>
      </c>
      <c r="E456" s="192">
        <f>0.38*SQRT(INPUT!$B$2/INPUT!AO42)</f>
        <v>0</v>
      </c>
      <c r="F456" s="192">
        <f>0.56*SQRT(INPUT!$B$2/MAX(MIN(0.7*INPUT!AO42,INPUT!AQ42),0.5*INPUT!AO42))</f>
        <v>0</v>
      </c>
      <c r="G456" s="192" t="e">
        <f>IF(D456&lt;=E456,1*N376*INPUT!AO42,(1-(1-MAX(MIN(0.7*INPUT!AO42,INPUT!AQ42),0.5*INPUT!AO42)/N376/INPUT!AO42)*((D456-E456)/(F456-E456)))*1*N376*INPUT!AO42)</f>
        <v>#DIV/0!</v>
      </c>
      <c r="H456" s="188">
        <f>B133</f>
        <v>3175</v>
      </c>
      <c r="I456" s="196">
        <f>J213</f>
        <v>0</v>
      </c>
      <c r="J456" s="174">
        <f>PI()*F213*SQRT(INPUT!$B$2/MAX(MIN(0.7*INPUT!AO42,INPUT!AQ42),0.5*INPUT!AO42))</f>
        <v>0</v>
      </c>
      <c r="K456" s="191">
        <f>1*1*(PI()^2)*INPUT!$B$2/(H456/F213)^2</f>
        <v>0</v>
      </c>
      <c r="L456" s="192">
        <f>IF(H456&lt;=I456,1*N376*INPUT!AO42,IF(H456&lt;=J456,MIN(1*(1-(1-MAX(MIN(0.7*INPUT!AO42,INPUT!AQ42),0.5*INPUT!AO42)/N376/INPUT!AO42)*((H456-I456)/(J456-I456)))*1*N376*INPUT!AO42,1*N376*INPUT!AO42),MIN(K456,1*N376*INPUT!AO42)))</f>
        <v>0</v>
      </c>
      <c r="M456" s="194" t="str">
        <f>IF(C456="BF","BF",MIN(G456,L456))</f>
        <v>BF</v>
      </c>
    </row>
    <row r="457">
      <c r="A457" s="182">
        <f>A377</f>
        <v>101</v>
      </c>
      <c r="B457" s="131" t="str">
        <f>D214</f>
        <v>Negative</v>
      </c>
      <c r="C457" s="195" t="str">
        <f>IF(B457="Positive",IF(G377=2,"OF","BF"),"BF")</f>
        <v>BF</v>
      </c>
      <c r="D457" s="179">
        <f>H377/2/D377</f>
        <v>11.363636363636363</v>
      </c>
      <c r="E457" s="192">
        <f>0.38*SQRT(INPUT!$B$2/INPUT!AO43)</f>
        <v>0</v>
      </c>
      <c r="F457" s="192">
        <f>0.56*SQRT(INPUT!$B$2/MAX(MIN(0.7*INPUT!AO43,INPUT!AQ43),0.5*INPUT!AO43))</f>
        <v>0</v>
      </c>
      <c r="G457" s="192" t="e">
        <f>IF(D457&lt;=E457,1*N377*INPUT!AO43,(1-(1-MAX(MIN(0.7*INPUT!AO43,INPUT!AQ43),0.5*INPUT!AO43)/N377/INPUT!AO43)*((D457-E457)/(F457-E457)))*1*N377*INPUT!AO43)</f>
        <v>#DIV/0!</v>
      </c>
      <c r="H457" s="188">
        <f>B134</f>
        <v>3175</v>
      </c>
      <c r="I457" s="196">
        <f>J214</f>
        <v>0</v>
      </c>
      <c r="J457" s="174">
        <f>PI()*F214*SQRT(INPUT!$B$2/MAX(MIN(0.7*INPUT!AO43,INPUT!AQ43),0.5*INPUT!AO43))</f>
        <v>0</v>
      </c>
      <c r="K457" s="191">
        <f>1*1*(PI()^2)*INPUT!$B$2/(H457/F214)^2</f>
        <v>0</v>
      </c>
      <c r="L457" s="192">
        <f>IF(H457&lt;=I457,1*N377*INPUT!AO43,IF(H457&lt;=J457,MIN(1*(1-(1-MAX(MIN(0.7*INPUT!AO43,INPUT!AQ43),0.5*INPUT!AO43)/N377/INPUT!AO43)*((H457-I457)/(J457-I457)))*1*N377*INPUT!AO43,1*N377*INPUT!AO43),MIN(K457,1*N377*INPUT!AO43)))</f>
        <v>0</v>
      </c>
      <c r="M457" s="194" t="str">
        <f>IF(C457="BF","BF",MIN(G457,L457))</f>
        <v>BF</v>
      </c>
    </row>
    <row r="458">
      <c r="A458" s="182">
        <f>A378</f>
        <v>101</v>
      </c>
      <c r="B458" s="131" t="str">
        <f>D215</f>
        <v>Negative</v>
      </c>
      <c r="C458" s="195" t="str">
        <f>IF(B458="Positive",IF(G378=2,"OF","BF"),"BF")</f>
        <v>BF</v>
      </c>
      <c r="D458" s="179">
        <f>H378/2/D378</f>
        <v>11.363636363636363</v>
      </c>
      <c r="E458" s="192">
        <f>0.38*SQRT(INPUT!$B$2/INPUT!AO44)</f>
        <v>0</v>
      </c>
      <c r="F458" s="192">
        <f>0.56*SQRT(INPUT!$B$2/MAX(MIN(0.7*INPUT!AO44,INPUT!AQ44),0.5*INPUT!AO44))</f>
        <v>0</v>
      </c>
      <c r="G458" s="192" t="e">
        <f>IF(D458&lt;=E458,1*N378*INPUT!AO44,(1-(1-MAX(MIN(0.7*INPUT!AO44,INPUT!AQ44),0.5*INPUT!AO44)/N378/INPUT!AO44)*((D458-E458)/(F458-E458)))*1*N378*INPUT!AO44)</f>
        <v>#DIV/0!</v>
      </c>
      <c r="H458" s="188">
        <f>B135</f>
        <v>3175</v>
      </c>
      <c r="I458" s="196">
        <f>J215</f>
        <v>0</v>
      </c>
      <c r="J458" s="174">
        <f>PI()*F215*SQRT(INPUT!$B$2/MAX(MIN(0.7*INPUT!AO44,INPUT!AQ44),0.5*INPUT!AO44))</f>
        <v>0</v>
      </c>
      <c r="K458" s="191">
        <f>1*1*(PI()^2)*INPUT!$B$2/(H458/F215)^2</f>
        <v>0</v>
      </c>
      <c r="L458" s="192">
        <f>IF(H458&lt;=I458,1*N378*INPUT!AO44,IF(H458&lt;=J458,MIN(1*(1-(1-MAX(MIN(0.7*INPUT!AO44,INPUT!AQ44),0.5*INPUT!AO44)/N378/INPUT!AO44)*((H458-I458)/(J458-I458)))*1*N378*INPUT!AO44,1*N378*INPUT!AO44),MIN(K458,1*N378*INPUT!AO44)))</f>
        <v>0</v>
      </c>
      <c r="M458" s="194" t="str">
        <f>IF(C458="BF","BF",MIN(G458,L458))</f>
        <v>BF</v>
      </c>
    </row>
    <row r="459">
      <c r="A459" s="182">
        <f>A379</f>
        <v>101</v>
      </c>
      <c r="B459" s="131" t="str">
        <f>D216</f>
        <v>Negative</v>
      </c>
      <c r="C459" s="195" t="str">
        <f>IF(B459="Positive",IF(G379=2,"OF","BF"),"BF")</f>
        <v>BF</v>
      </c>
      <c r="D459" s="179">
        <f>H379/2/D379</f>
        <v>11.363636363636363</v>
      </c>
      <c r="E459" s="192">
        <f>0.38*SQRT(INPUT!$B$2/INPUT!AO45)</f>
        <v>0</v>
      </c>
      <c r="F459" s="192">
        <f>0.56*SQRT(INPUT!$B$2/MAX(MIN(0.7*INPUT!AO45,INPUT!AQ45),0.5*INPUT!AO45))</f>
        <v>0</v>
      </c>
      <c r="G459" s="192" t="e">
        <f>IF(D459&lt;=E459,1*N379*INPUT!AO45,(1-(1-MAX(MIN(0.7*INPUT!AO45,INPUT!AQ45),0.5*INPUT!AO45)/N379/INPUT!AO45)*((D459-E459)/(F459-E459)))*1*N379*INPUT!AO45)</f>
        <v>#DIV/0!</v>
      </c>
      <c r="H459" s="188">
        <f>B136</f>
        <v>3175</v>
      </c>
      <c r="I459" s="196">
        <f>J216</f>
        <v>0</v>
      </c>
      <c r="J459" s="174">
        <f>PI()*F216*SQRT(INPUT!$B$2/MAX(MIN(0.7*INPUT!AO45,INPUT!AQ45),0.5*INPUT!AO45))</f>
        <v>0</v>
      </c>
      <c r="K459" s="191">
        <f>1*1*(PI()^2)*INPUT!$B$2/(H459/F216)^2</f>
        <v>0</v>
      </c>
      <c r="L459" s="192">
        <f>IF(H459&lt;=I459,1*N379*INPUT!AO45,IF(H459&lt;=J459,MIN(1*(1-(1-MAX(MIN(0.7*INPUT!AO45,INPUT!AQ45),0.5*INPUT!AO45)/N379/INPUT!AO45)*((H459-I459)/(J459-I459)))*1*N379*INPUT!AO45,1*N379*INPUT!AO45),MIN(K459,1*N379*INPUT!AO45)))</f>
        <v>0</v>
      </c>
      <c r="M459" s="194" t="str">
        <f>IF(C459="BF","BF",MIN(G459,L459))</f>
        <v>BF</v>
      </c>
    </row>
    <row r="460">
      <c r="A460" s="182">
        <f>A380</f>
        <v>101</v>
      </c>
      <c r="B460" s="131" t="str">
        <f>D217</f>
        <v>Negative</v>
      </c>
      <c r="C460" s="195" t="str">
        <f>IF(B460="Positive",IF(G380=2,"OF","BF"),"BF")</f>
        <v>BF</v>
      </c>
      <c r="D460" s="179">
        <f>H380/2/D380</f>
        <v>11.363636363636363</v>
      </c>
      <c r="E460" s="192">
        <f>0.38*SQRT(INPUT!$B$2/INPUT!AO46)</f>
        <v>0</v>
      </c>
      <c r="F460" s="192">
        <f>0.56*SQRT(INPUT!$B$2/MAX(MIN(0.7*INPUT!AO46,INPUT!AQ46),0.5*INPUT!AO46))</f>
        <v>0</v>
      </c>
      <c r="G460" s="192" t="e">
        <f>IF(D460&lt;=E460,1*N380*INPUT!AO46,(1-(1-MAX(MIN(0.7*INPUT!AO46,INPUT!AQ46),0.5*INPUT!AO46)/N380/INPUT!AO46)*((D460-E460)/(F460-E460)))*1*N380*INPUT!AO46)</f>
        <v>#DIV/0!</v>
      </c>
      <c r="H460" s="188">
        <f>B137</f>
        <v>3175</v>
      </c>
      <c r="I460" s="196">
        <f>J217</f>
        <v>0</v>
      </c>
      <c r="J460" s="174">
        <f>PI()*F217*SQRT(INPUT!$B$2/MAX(MIN(0.7*INPUT!AO46,INPUT!AQ46),0.5*INPUT!AO46))</f>
        <v>0</v>
      </c>
      <c r="K460" s="191">
        <f>1*1*(PI()^2)*INPUT!$B$2/(H460/F217)^2</f>
        <v>0</v>
      </c>
      <c r="L460" s="192">
        <f>IF(H460&lt;=I460,1*N380*INPUT!AO46,IF(H460&lt;=J460,MIN(1*(1-(1-MAX(MIN(0.7*INPUT!AO46,INPUT!AQ46),0.5*INPUT!AO46)/N380/INPUT!AO46)*((H460-I460)/(J460-I460)))*1*N380*INPUT!AO46,1*N380*INPUT!AO46),MIN(K460,1*N380*INPUT!AO46)))</f>
        <v>0</v>
      </c>
      <c r="M460" s="194" t="str">
        <f>IF(C460="BF","BF",MIN(G460,L460))</f>
        <v>BF</v>
      </c>
    </row>
    <row r="461">
      <c r="A461" s="182">
        <f>A381</f>
        <v>101</v>
      </c>
      <c r="B461" s="131" t="str">
        <f>D218</f>
        <v>Negative</v>
      </c>
      <c r="C461" s="195" t="str">
        <f>IF(B461="Positive",IF(G381=2,"OF","BF"),"BF")</f>
        <v>BF</v>
      </c>
      <c r="D461" s="179">
        <f>H381/2/D381</f>
        <v>11.363636363636363</v>
      </c>
      <c r="E461" s="192">
        <f>0.38*SQRT(INPUT!$B$2/INPUT!AO47)</f>
        <v>0</v>
      </c>
      <c r="F461" s="192">
        <f>0.56*SQRT(INPUT!$B$2/MAX(MIN(0.7*INPUT!AO47,INPUT!AQ47),0.5*INPUT!AO47))</f>
        <v>0</v>
      </c>
      <c r="G461" s="192" t="e">
        <f>IF(D461&lt;=E461,1*N381*INPUT!AO47,(1-(1-MAX(MIN(0.7*INPUT!AO47,INPUT!AQ47),0.5*INPUT!AO47)/N381/INPUT!AO47)*((D461-E461)/(F461-E461)))*1*N381*INPUT!AO47)</f>
        <v>#DIV/0!</v>
      </c>
      <c r="H461" s="188">
        <f>B138</f>
        <v>3175</v>
      </c>
      <c r="I461" s="196">
        <f>J218</f>
        <v>0</v>
      </c>
      <c r="J461" s="174">
        <f>PI()*F218*SQRT(INPUT!$B$2/MAX(MIN(0.7*INPUT!AO47,INPUT!AQ47),0.5*INPUT!AO47))</f>
        <v>0</v>
      </c>
      <c r="K461" s="191">
        <f>1*1*(PI()^2)*INPUT!$B$2/(H461/F218)^2</f>
        <v>0</v>
      </c>
      <c r="L461" s="192">
        <f>IF(H461&lt;=I461,1*N381*INPUT!AO47,IF(H461&lt;=J461,MIN(1*(1-(1-MAX(MIN(0.7*INPUT!AO47,INPUT!AQ47),0.5*INPUT!AO47)/N381/INPUT!AO47)*((H461-I461)/(J461-I461)))*1*N381*INPUT!AO47,1*N381*INPUT!AO47),MIN(K461,1*N381*INPUT!AO47)))</f>
        <v>0</v>
      </c>
      <c r="M461" s="194" t="str">
        <f>IF(C461="BF","BF",MIN(G461,L461))</f>
        <v>BF</v>
      </c>
    </row>
    <row r="462">
      <c r="A462" s="182">
        <f>A382</f>
        <v>101</v>
      </c>
      <c r="B462" s="131" t="str">
        <f>D219</f>
        <v>Negative</v>
      </c>
      <c r="C462" s="195" t="str">
        <f>IF(B462="Positive",IF(G382=2,"OF","BF"),"BF")</f>
        <v>BF</v>
      </c>
      <c r="D462" s="179">
        <f>H382/2/D382</f>
        <v>11.363636363636363</v>
      </c>
      <c r="E462" s="192">
        <f>0.38*SQRT(INPUT!$B$2/INPUT!AO48)</f>
        <v>0</v>
      </c>
      <c r="F462" s="192">
        <f>0.56*SQRT(INPUT!$B$2/MAX(MIN(0.7*INPUT!AO48,INPUT!AQ48),0.5*INPUT!AO48))</f>
        <v>0</v>
      </c>
      <c r="G462" s="192" t="e">
        <f>IF(D462&lt;=E462,1*N382*INPUT!AO48,(1-(1-MAX(MIN(0.7*INPUT!AO48,INPUT!AQ48),0.5*INPUT!AO48)/N382/INPUT!AO48)*((D462-E462)/(F462-E462)))*1*N382*INPUT!AO48)</f>
        <v>#DIV/0!</v>
      </c>
      <c r="H462" s="188">
        <f>B139</f>
        <v>3175</v>
      </c>
      <c r="I462" s="196">
        <f>J219</f>
        <v>0</v>
      </c>
      <c r="J462" s="174">
        <f>PI()*F219*SQRT(INPUT!$B$2/MAX(MIN(0.7*INPUT!AO48,INPUT!AQ48),0.5*INPUT!AO48))</f>
        <v>0</v>
      </c>
      <c r="K462" s="191">
        <f>1*1*(PI()^2)*INPUT!$B$2/(H462/F219)^2</f>
        <v>0</v>
      </c>
      <c r="L462" s="192">
        <f>IF(H462&lt;=I462,1*N382*INPUT!AO48,IF(H462&lt;=J462,MIN(1*(1-(1-MAX(MIN(0.7*INPUT!AO48,INPUT!AQ48),0.5*INPUT!AO48)/N382/INPUT!AO48)*((H462-I462)/(J462-I462)))*1*N382*INPUT!AO48,1*N382*INPUT!AO48),MIN(K462,1*N382*INPUT!AO48)))</f>
        <v>0</v>
      </c>
      <c r="M462" s="194" t="str">
        <f>IF(C462="BF","BF",MIN(G462,L462))</f>
        <v>BF</v>
      </c>
    </row>
    <row r="463">
      <c r="A463" s="182">
        <f>A383</f>
        <v>101</v>
      </c>
      <c r="B463" s="131" t="str">
        <f>D220</f>
        <v>Negative</v>
      </c>
      <c r="C463" s="195" t="str">
        <f>IF(B463="Positive",IF(G383=2,"OF","BF"),"BF")</f>
        <v>BF</v>
      </c>
      <c r="D463" s="179">
        <f>H383/2/D383</f>
        <v>11.363636363636363</v>
      </c>
      <c r="E463" s="192">
        <f>0.38*SQRT(INPUT!$B$2/INPUT!AO49)</f>
        <v>0</v>
      </c>
      <c r="F463" s="192">
        <f>0.56*SQRT(INPUT!$B$2/MAX(MIN(0.7*INPUT!AO49,INPUT!AQ49),0.5*INPUT!AO49))</f>
        <v>0</v>
      </c>
      <c r="G463" s="192" t="e">
        <f>IF(D463&lt;=E463,1*N383*INPUT!AO49,(1-(1-MAX(MIN(0.7*INPUT!AO49,INPUT!AQ49),0.5*INPUT!AO49)/N383/INPUT!AO49)*((D463-E463)/(F463-E463)))*1*N383*INPUT!AO49)</f>
        <v>#DIV/0!</v>
      </c>
      <c r="H463" s="188">
        <f>B140</f>
        <v>3175</v>
      </c>
      <c r="I463" s="196">
        <f>J220</f>
        <v>0</v>
      </c>
      <c r="J463" s="174">
        <f>PI()*F220*SQRT(INPUT!$B$2/MAX(MIN(0.7*INPUT!AO49,INPUT!AQ49),0.5*INPUT!AO49))</f>
        <v>0</v>
      </c>
      <c r="K463" s="191">
        <f>1*1*(PI()^2)*INPUT!$B$2/(H463/F220)^2</f>
        <v>0</v>
      </c>
      <c r="L463" s="192">
        <f>IF(H463&lt;=I463,1*N383*INPUT!AO49,IF(H463&lt;=J463,MIN(1*(1-(1-MAX(MIN(0.7*INPUT!AO49,INPUT!AQ49),0.5*INPUT!AO49)/N383/INPUT!AO49)*((H463-I463)/(J463-I463)))*1*N383*INPUT!AO49,1*N383*INPUT!AO49),MIN(K463,1*N383*INPUT!AO49)))</f>
        <v>0</v>
      </c>
      <c r="M463" s="194" t="str">
        <f>IF(C463="BF","BF",MIN(G463,L463))</f>
        <v>BF</v>
      </c>
    </row>
    <row r="464">
      <c r="A464" s="182">
        <f>A384</f>
        <v>101</v>
      </c>
      <c r="B464" s="131" t="str">
        <f>D221</f>
        <v>Negative</v>
      </c>
      <c r="C464" s="195" t="str">
        <f>IF(B464="Positive",IF(G384=2,"OF","BF"),"BF")</f>
        <v>BF</v>
      </c>
      <c r="D464" s="179">
        <f>H384/2/D384</f>
        <v>11.363636363636363</v>
      </c>
      <c r="E464" s="192">
        <f>0.38*SQRT(INPUT!$B$2/INPUT!AO50)</f>
        <v>0</v>
      </c>
      <c r="F464" s="192">
        <f>0.56*SQRT(INPUT!$B$2/MAX(MIN(0.7*INPUT!AO50,INPUT!AQ50),0.5*INPUT!AO50))</f>
        <v>0</v>
      </c>
      <c r="G464" s="192" t="e">
        <f>IF(D464&lt;=E464,1*N384*INPUT!AO50,(1-(1-MAX(MIN(0.7*INPUT!AO50,INPUT!AQ50),0.5*INPUT!AO50)/N384/INPUT!AO50)*((D464-E464)/(F464-E464)))*1*N384*INPUT!AO50)</f>
        <v>#DIV/0!</v>
      </c>
      <c r="H464" s="188">
        <f>B141</f>
        <v>3175</v>
      </c>
      <c r="I464" s="196">
        <f>J221</f>
        <v>0</v>
      </c>
      <c r="J464" s="174">
        <f>PI()*F221*SQRT(INPUT!$B$2/MAX(MIN(0.7*INPUT!AO50,INPUT!AQ50),0.5*INPUT!AO50))</f>
        <v>0</v>
      </c>
      <c r="K464" s="191">
        <f>1*1*(PI()^2)*INPUT!$B$2/(H464/F221)^2</f>
        <v>0</v>
      </c>
      <c r="L464" s="192">
        <f>IF(H464&lt;=I464,1*N384*INPUT!AO50,IF(H464&lt;=J464,MIN(1*(1-(1-MAX(MIN(0.7*INPUT!AO50,INPUT!AQ50),0.5*INPUT!AO50)/N384/INPUT!AO50)*((H464-I464)/(J464-I464)))*1*N384*INPUT!AO50,1*N384*INPUT!AO50),MIN(K464,1*N384*INPUT!AO50)))</f>
        <v>0</v>
      </c>
      <c r="M464" s="194" t="str">
        <f>IF(C464="BF","BF",MIN(G464,L464))</f>
        <v>BF</v>
      </c>
    </row>
    <row r="465">
      <c r="A465" s="182">
        <f>A385</f>
        <v>101</v>
      </c>
      <c r="B465" s="131" t="str">
        <f>D222</f>
        <v>Negative</v>
      </c>
      <c r="C465" s="195" t="str">
        <f>IF(B465="Positive",IF(G385=2,"OF","BF"),"BF")</f>
        <v>BF</v>
      </c>
      <c r="D465" s="179">
        <f>H385/2/D385</f>
        <v>11.363636363636363</v>
      </c>
      <c r="E465" s="192">
        <f>0.38*SQRT(INPUT!$B$2/INPUT!AO51)</f>
        <v>0</v>
      </c>
      <c r="F465" s="192">
        <f>0.56*SQRT(INPUT!$B$2/MAX(MIN(0.7*INPUT!AO51,INPUT!AQ51),0.5*INPUT!AO51))</f>
        <v>0</v>
      </c>
      <c r="G465" s="192" t="e">
        <f>IF(D465&lt;=E465,1*N385*INPUT!AO51,(1-(1-MAX(MIN(0.7*INPUT!AO51,INPUT!AQ51),0.5*INPUT!AO51)/N385/INPUT!AO51)*((D465-E465)/(F465-E465)))*1*N385*INPUT!AO51)</f>
        <v>#DIV/0!</v>
      </c>
      <c r="H465" s="188">
        <f>B142</f>
        <v>3175</v>
      </c>
      <c r="I465" s="196">
        <f>J222</f>
        <v>0</v>
      </c>
      <c r="J465" s="174">
        <f>PI()*F222*SQRT(INPUT!$B$2/MAX(MIN(0.7*INPUT!AO51,INPUT!AQ51),0.5*INPUT!AO51))</f>
        <v>0</v>
      </c>
      <c r="K465" s="191">
        <f>1*1*(PI()^2)*INPUT!$B$2/(H465/F222)^2</f>
        <v>0</v>
      </c>
      <c r="L465" s="192">
        <f>IF(H465&lt;=I465,1*N385*INPUT!AO51,IF(H465&lt;=J465,MIN(1*(1-(1-MAX(MIN(0.7*INPUT!AO51,INPUT!AQ51),0.5*INPUT!AO51)/N385/INPUT!AO51)*((H465-I465)/(J465-I465)))*1*N385*INPUT!AO51,1*N385*INPUT!AO51),MIN(K465,1*N385*INPUT!AO51)))</f>
        <v>0</v>
      </c>
      <c r="M465" s="194" t="str">
        <f>IF(C465="BF","BF",MIN(G465,L465))</f>
        <v>BF</v>
      </c>
    </row>
    <row r="466">
      <c r="A466" s="182">
        <f>A386</f>
        <v>101</v>
      </c>
      <c r="B466" s="131" t="str">
        <f>D223</f>
        <v>Negative</v>
      </c>
      <c r="C466" s="195" t="str">
        <f>IF(B466="Positive",IF(G386=2,"OF","BF"),"BF")</f>
        <v>BF</v>
      </c>
      <c r="D466" s="179">
        <f>H386/2/D386</f>
        <v>11.363636363636363</v>
      </c>
      <c r="E466" s="192">
        <f>0.38*SQRT(INPUT!$B$2/INPUT!AO52)</f>
        <v>0</v>
      </c>
      <c r="F466" s="192">
        <f>0.56*SQRT(INPUT!$B$2/MAX(MIN(0.7*INPUT!AO52,INPUT!AQ52),0.5*INPUT!AO52))</f>
        <v>0</v>
      </c>
      <c r="G466" s="192" t="e">
        <f>IF(D466&lt;=E466,1*N386*INPUT!AO52,(1-(1-MAX(MIN(0.7*INPUT!AO52,INPUT!AQ52),0.5*INPUT!AO52)/N386/INPUT!AO52)*((D466-E466)/(F466-E466)))*1*N386*INPUT!AO52)</f>
        <v>#DIV/0!</v>
      </c>
      <c r="H466" s="188">
        <f>B143</f>
        <v>3175</v>
      </c>
      <c r="I466" s="196">
        <f>J223</f>
        <v>0</v>
      </c>
      <c r="J466" s="174">
        <f>PI()*F223*SQRT(INPUT!$B$2/MAX(MIN(0.7*INPUT!AO52,INPUT!AQ52),0.5*INPUT!AO52))</f>
        <v>0</v>
      </c>
      <c r="K466" s="191">
        <f>1*1*(PI()^2)*INPUT!$B$2/(H466/F223)^2</f>
        <v>0</v>
      </c>
      <c r="L466" s="192">
        <f>IF(H466&lt;=I466,1*N386*INPUT!AO52,IF(H466&lt;=J466,MIN(1*(1-(1-MAX(MIN(0.7*INPUT!AO52,INPUT!AQ52),0.5*INPUT!AO52)/N386/INPUT!AO52)*((H466-I466)/(J466-I466)))*1*N386*INPUT!AO52,1*N386*INPUT!AO52),MIN(K466,1*N386*INPUT!AO52)))</f>
        <v>0</v>
      </c>
      <c r="M466" s="194" t="str">
        <f>IF(C466="BF","BF",MIN(G466,L466))</f>
        <v>BF</v>
      </c>
    </row>
    <row r="467">
      <c r="A467" s="182">
        <f>A387</f>
        <v>101</v>
      </c>
      <c r="B467" s="131" t="str">
        <f>D224</f>
        <v>Negative</v>
      </c>
      <c r="C467" s="195" t="str">
        <f>IF(B467="Positive",IF(G387=2,"OF","BF"),"BF")</f>
        <v>BF</v>
      </c>
      <c r="D467" s="179">
        <f>H387/2/D387</f>
        <v>11.363636363636363</v>
      </c>
      <c r="E467" s="192">
        <f>0.38*SQRT(INPUT!$B$2/INPUT!AO53)</f>
        <v>0</v>
      </c>
      <c r="F467" s="192">
        <f>0.56*SQRT(INPUT!$B$2/MAX(MIN(0.7*INPUT!AO53,INPUT!AQ53),0.5*INPUT!AO53))</f>
        <v>0</v>
      </c>
      <c r="G467" s="192" t="e">
        <f>IF(D467&lt;=E467,1*N387*INPUT!AO53,(1-(1-MAX(MIN(0.7*INPUT!AO53,INPUT!AQ53),0.5*INPUT!AO53)/N387/INPUT!AO53)*((D467-E467)/(F467-E467)))*1*N387*INPUT!AO53)</f>
        <v>#DIV/0!</v>
      </c>
      <c r="H467" s="188">
        <f>B144</f>
        <v>3175</v>
      </c>
      <c r="I467" s="196">
        <f>J224</f>
        <v>0</v>
      </c>
      <c r="J467" s="174">
        <f>PI()*F224*SQRT(INPUT!$B$2/MAX(MIN(0.7*INPUT!AO53,INPUT!AQ53),0.5*INPUT!AO53))</f>
        <v>0</v>
      </c>
      <c r="K467" s="191">
        <f>1*1*(PI()^2)*INPUT!$B$2/(H467/F224)^2</f>
        <v>0</v>
      </c>
      <c r="L467" s="192">
        <f>IF(H467&lt;=I467,1*N387*INPUT!AO53,IF(H467&lt;=J467,MIN(1*(1-(1-MAX(MIN(0.7*INPUT!AO53,INPUT!AQ53),0.5*INPUT!AO53)/N387/INPUT!AO53)*((H467-I467)/(J467-I467)))*1*N387*INPUT!AO53,1*N387*INPUT!AO53),MIN(K467,1*N387*INPUT!AO53)))</f>
        <v>0</v>
      </c>
      <c r="M467" s="194" t="str">
        <f>IF(C467="BF","BF",MIN(G467,L467))</f>
        <v>BF</v>
      </c>
    </row>
    <row r="468">
      <c r="A468" s="182">
        <f>A388</f>
        <v>101</v>
      </c>
      <c r="B468" s="131" t="str">
        <f>D225</f>
        <v>Negative</v>
      </c>
      <c r="C468" s="195" t="str">
        <f>IF(B468="Positive",IF(G388=2,"OF","BF"),"BF")</f>
        <v>BF</v>
      </c>
      <c r="D468" s="179">
        <f>H388/2/D388</f>
        <v>11.363636363636363</v>
      </c>
      <c r="E468" s="192">
        <f>0.38*SQRT(INPUT!$B$2/INPUT!AO54)</f>
        <v>0</v>
      </c>
      <c r="F468" s="192">
        <f>0.56*SQRT(INPUT!$B$2/MAX(MIN(0.7*INPUT!AO54,INPUT!AQ54),0.5*INPUT!AO54))</f>
        <v>0</v>
      </c>
      <c r="G468" s="192" t="e">
        <f>IF(D468&lt;=E468,1*N388*INPUT!AO54,(1-(1-MAX(MIN(0.7*INPUT!AO54,INPUT!AQ54),0.5*INPUT!AO54)/N388/INPUT!AO54)*((D468-E468)/(F468-E468)))*1*N388*INPUT!AO54)</f>
        <v>#DIV/0!</v>
      </c>
      <c r="H468" s="188">
        <f>B145</f>
        <v>3175</v>
      </c>
      <c r="I468" s="196">
        <f>J225</f>
        <v>0</v>
      </c>
      <c r="J468" s="174">
        <f>PI()*F225*SQRT(INPUT!$B$2/MAX(MIN(0.7*INPUT!AO54,INPUT!AQ54),0.5*INPUT!AO54))</f>
        <v>0</v>
      </c>
      <c r="K468" s="191">
        <f>1*1*(PI()^2)*INPUT!$B$2/(H468/F225)^2</f>
        <v>0</v>
      </c>
      <c r="L468" s="192">
        <f>IF(H468&lt;=I468,1*N388*INPUT!AO54,IF(H468&lt;=J468,MIN(1*(1-(1-MAX(MIN(0.7*INPUT!AO54,INPUT!AQ54),0.5*INPUT!AO54)/N388/INPUT!AO54)*((H468-I468)/(J468-I468)))*1*N388*INPUT!AO54,1*N388*INPUT!AO54),MIN(K468,1*N388*INPUT!AO54)))</f>
        <v>0</v>
      </c>
      <c r="M468" s="194" t="str">
        <f>IF(C468="BF","BF",MIN(G468,L468))</f>
        <v>BF</v>
      </c>
    </row>
    <row r="469">
      <c r="A469" s="182">
        <f>A389</f>
        <v>101</v>
      </c>
      <c r="B469" s="131" t="str">
        <f>D226</f>
        <v>Negative</v>
      </c>
      <c r="C469" s="195" t="str">
        <f>IF(B469="Positive",IF(G389=2,"OF","BF"),"BF")</f>
        <v>BF</v>
      </c>
      <c r="D469" s="179">
        <f>H389/2/D389</f>
        <v>11.363636363636363</v>
      </c>
      <c r="E469" s="192">
        <f>0.38*SQRT(INPUT!$B$2/INPUT!AO55)</f>
        <v>0</v>
      </c>
      <c r="F469" s="192">
        <f>0.56*SQRT(INPUT!$B$2/MAX(MIN(0.7*INPUT!AO55,INPUT!AQ55),0.5*INPUT!AO55))</f>
        <v>0</v>
      </c>
      <c r="G469" s="192" t="e">
        <f>IF(D469&lt;=E469,1*N389*INPUT!AO55,(1-(1-MAX(MIN(0.7*INPUT!AO55,INPUT!AQ55),0.5*INPUT!AO55)/N389/INPUT!AO55)*((D469-E469)/(F469-E469)))*1*N389*INPUT!AO55)</f>
        <v>#DIV/0!</v>
      </c>
      <c r="H469" s="188">
        <f>B146</f>
        <v>3175</v>
      </c>
      <c r="I469" s="196">
        <f>J226</f>
        <v>0</v>
      </c>
      <c r="J469" s="174">
        <f>PI()*F226*SQRT(INPUT!$B$2/MAX(MIN(0.7*INPUT!AO55,INPUT!AQ55),0.5*INPUT!AO55))</f>
        <v>0</v>
      </c>
      <c r="K469" s="191">
        <f>1*1*(PI()^2)*INPUT!$B$2/(H469/F226)^2</f>
        <v>0</v>
      </c>
      <c r="L469" s="192">
        <f>IF(H469&lt;=I469,1*N389*INPUT!AO55,IF(H469&lt;=J469,MIN(1*(1-(1-MAX(MIN(0.7*INPUT!AO55,INPUT!AQ55),0.5*INPUT!AO55)/N389/INPUT!AO55)*((H469-I469)/(J469-I469)))*1*N389*INPUT!AO55,1*N389*INPUT!AO55),MIN(K469,1*N389*INPUT!AO55)))</f>
        <v>0</v>
      </c>
      <c r="M469" s="194" t="str">
        <f>IF(C469="BF","BF",MIN(G469,L469))</f>
        <v>BF</v>
      </c>
    </row>
    <row r="470">
      <c r="A470" s="182">
        <f>A390</f>
        <v>101</v>
      </c>
      <c r="B470" s="131" t="str">
        <f>D227</f>
        <v>Negative</v>
      </c>
      <c r="C470" s="195" t="str">
        <f>IF(B470="Positive",IF(G390=2,"OF","BF"),"BF")</f>
        <v>BF</v>
      </c>
      <c r="D470" s="179">
        <f>H390/2/D390</f>
        <v>11.363636363636363</v>
      </c>
      <c r="E470" s="192">
        <f>0.38*SQRT(INPUT!$B$2/INPUT!AO56)</f>
        <v>0</v>
      </c>
      <c r="F470" s="192">
        <f>0.56*SQRT(INPUT!$B$2/MAX(MIN(0.7*INPUT!AO56,INPUT!AQ56),0.5*INPUT!AO56))</f>
        <v>0</v>
      </c>
      <c r="G470" s="192" t="e">
        <f>IF(D470&lt;=E470,1*N390*INPUT!AO56,(1-(1-MAX(MIN(0.7*INPUT!AO56,INPUT!AQ56),0.5*INPUT!AO56)/N390/INPUT!AO56)*((D470-E470)/(F470-E470)))*1*N390*INPUT!AO56)</f>
        <v>#DIV/0!</v>
      </c>
      <c r="H470" s="188">
        <f>B147</f>
        <v>3175</v>
      </c>
      <c r="I470" s="196">
        <f>J227</f>
        <v>0</v>
      </c>
      <c r="J470" s="174">
        <f>PI()*F227*SQRT(INPUT!$B$2/MAX(MIN(0.7*INPUT!AO56,INPUT!AQ56),0.5*INPUT!AO56))</f>
        <v>0</v>
      </c>
      <c r="K470" s="191">
        <f>1*1*(PI()^2)*INPUT!$B$2/(H470/F227)^2</f>
        <v>0</v>
      </c>
      <c r="L470" s="192">
        <f>IF(H470&lt;=I470,1*N390*INPUT!AO56,IF(H470&lt;=J470,MIN(1*(1-(1-MAX(MIN(0.7*INPUT!AO56,INPUT!AQ56),0.5*INPUT!AO56)/N390/INPUT!AO56)*((H470-I470)/(J470-I470)))*1*N390*INPUT!AO56,1*N390*INPUT!AO56),MIN(K470,1*N390*INPUT!AO56)))</f>
        <v>0</v>
      </c>
      <c r="M470" s="194" t="str">
        <f>IF(C470="BF","BF",MIN(G470,L470))</f>
        <v>BF</v>
      </c>
    </row>
    <row r="471">
      <c r="A471" s="182">
        <f>A391</f>
        <v>101</v>
      </c>
      <c r="B471" s="131" t="str">
        <f>D228</f>
        <v>Negative</v>
      </c>
      <c r="C471" s="195" t="str">
        <f>IF(B471="Positive",IF(G391=2,"OF","BF"),"BF")</f>
        <v>BF</v>
      </c>
      <c r="D471" s="179">
        <f>H391/2/D391</f>
        <v>11.363636363636363</v>
      </c>
      <c r="E471" s="192">
        <f>0.38*SQRT(INPUT!$B$2/INPUT!AO57)</f>
        <v>0</v>
      </c>
      <c r="F471" s="192">
        <f>0.56*SQRT(INPUT!$B$2/MAX(MIN(0.7*INPUT!AO57,INPUT!AQ57),0.5*INPUT!AO57))</f>
        <v>0</v>
      </c>
      <c r="G471" s="192" t="e">
        <f>IF(D471&lt;=E471,1*N391*INPUT!AO57,(1-(1-MAX(MIN(0.7*INPUT!AO57,INPUT!AQ57),0.5*INPUT!AO57)/N391/INPUT!AO57)*((D471-E471)/(F471-E471)))*1*N391*INPUT!AO57)</f>
        <v>#DIV/0!</v>
      </c>
      <c r="H471" s="188">
        <f>B148</f>
        <v>3175</v>
      </c>
      <c r="I471" s="196">
        <f>J228</f>
        <v>0</v>
      </c>
      <c r="J471" s="174">
        <f>PI()*F228*SQRT(INPUT!$B$2/MAX(MIN(0.7*INPUT!AO57,INPUT!AQ57),0.5*INPUT!AO57))</f>
        <v>0</v>
      </c>
      <c r="K471" s="191">
        <f>1*1*(PI()^2)*INPUT!$B$2/(H471/F228)^2</f>
        <v>0</v>
      </c>
      <c r="L471" s="192">
        <f>IF(H471&lt;=I471,1*N391*INPUT!AO57,IF(H471&lt;=J471,MIN(1*(1-(1-MAX(MIN(0.7*INPUT!AO57,INPUT!AQ57),0.5*INPUT!AO57)/N391/INPUT!AO57)*((H471-I471)/(J471-I471)))*1*N391*INPUT!AO57,1*N391*INPUT!AO57),MIN(K471,1*N391*INPUT!AO57)))</f>
        <v>0</v>
      </c>
      <c r="M471" s="194" t="str">
        <f>IF(C471="BF","BF",MIN(G471,L471))</f>
        <v>BF</v>
      </c>
    </row>
    <row r="472">
      <c r="A472" s="182">
        <f>A392</f>
        <v>101</v>
      </c>
      <c r="B472" s="131" t="str">
        <f>D229</f>
        <v>Negative</v>
      </c>
      <c r="C472" s="195" t="str">
        <f>IF(B472="Positive",IF(G392=2,"OF","BF"),"BF")</f>
        <v>BF</v>
      </c>
      <c r="D472" s="179">
        <f>H392/2/D392</f>
        <v>11.363636363636363</v>
      </c>
      <c r="E472" s="192">
        <f>0.38*SQRT(INPUT!$B$2/INPUT!AO58)</f>
        <v>0</v>
      </c>
      <c r="F472" s="192">
        <f>0.56*SQRT(INPUT!$B$2/MAX(MIN(0.7*INPUT!AO58,INPUT!AQ58),0.5*INPUT!AO58))</f>
        <v>0</v>
      </c>
      <c r="G472" s="192" t="e">
        <f>IF(D472&lt;=E472,1*N392*INPUT!AO58,(1-(1-MAX(MIN(0.7*INPUT!AO58,INPUT!AQ58),0.5*INPUT!AO58)/N392/INPUT!AO58)*((D472-E472)/(F472-E472)))*1*N392*INPUT!AO58)</f>
        <v>#DIV/0!</v>
      </c>
      <c r="H472" s="188">
        <f>B149</f>
        <v>3175</v>
      </c>
      <c r="I472" s="196">
        <f>J229</f>
        <v>0</v>
      </c>
      <c r="J472" s="174">
        <f>PI()*F229*SQRT(INPUT!$B$2/MAX(MIN(0.7*INPUT!AO58,INPUT!AQ58),0.5*INPUT!AO58))</f>
        <v>0</v>
      </c>
      <c r="K472" s="191">
        <f>1*1*(PI()^2)*INPUT!$B$2/(H472/F229)^2</f>
        <v>0</v>
      </c>
      <c r="L472" s="192">
        <f>IF(H472&lt;=I472,1*N392*INPUT!AO58,IF(H472&lt;=J472,MIN(1*(1-(1-MAX(MIN(0.7*INPUT!AO58,INPUT!AQ58),0.5*INPUT!AO58)/N392/INPUT!AO58)*((H472-I472)/(J472-I472)))*1*N392*INPUT!AO58,1*N392*INPUT!AO58),MIN(K472,1*N392*INPUT!AO58)))</f>
        <v>0</v>
      </c>
      <c r="M472" s="194" t="str">
        <f>IF(C472="BF","BF",MIN(G472,L472))</f>
        <v>BF</v>
      </c>
    </row>
    <row r="473">
      <c r="A473" s="182">
        <f>A393</f>
        <v>101</v>
      </c>
      <c r="B473" s="131" t="str">
        <f>D230</f>
        <v>Negative</v>
      </c>
      <c r="C473" s="195" t="str">
        <f>IF(B473="Positive",IF(G393=2,"OF","BF"),"BF")</f>
        <v>BF</v>
      </c>
      <c r="D473" s="179">
        <f>H393/2/D393</f>
        <v>11.363636363636363</v>
      </c>
      <c r="E473" s="192">
        <f>0.38*SQRT(INPUT!$B$2/INPUT!AO59)</f>
        <v>0</v>
      </c>
      <c r="F473" s="192">
        <f>0.56*SQRT(INPUT!$B$2/MAX(MIN(0.7*INPUT!AO59,INPUT!AQ59),0.5*INPUT!AO59))</f>
        <v>0</v>
      </c>
      <c r="G473" s="192" t="e">
        <f>IF(D473&lt;=E473,1*N393*INPUT!AO59,(1-(1-MAX(MIN(0.7*INPUT!AO59,INPUT!AQ59),0.5*INPUT!AO59)/N393/INPUT!AO59)*((D473-E473)/(F473-E473)))*1*N393*INPUT!AO59)</f>
        <v>#DIV/0!</v>
      </c>
      <c r="H473" s="188">
        <f>B150</f>
        <v>3175</v>
      </c>
      <c r="I473" s="196">
        <f>J230</f>
        <v>0</v>
      </c>
      <c r="J473" s="174">
        <f>PI()*F230*SQRT(INPUT!$B$2/MAX(MIN(0.7*INPUT!AO59,INPUT!AQ59),0.5*INPUT!AO59))</f>
        <v>0</v>
      </c>
      <c r="K473" s="191">
        <f>1*1*(PI()^2)*INPUT!$B$2/(H473/F230)^2</f>
        <v>0</v>
      </c>
      <c r="L473" s="192">
        <f>IF(H473&lt;=I473,1*N393*INPUT!AO59,IF(H473&lt;=J473,MIN(1*(1-(1-MAX(MIN(0.7*INPUT!AO59,INPUT!AQ59),0.5*INPUT!AO59)/N393/INPUT!AO59)*((H473-I473)/(J473-I473)))*1*N393*INPUT!AO59,1*N393*INPUT!AO59),MIN(K473,1*N393*INPUT!AO59)))</f>
        <v>0</v>
      </c>
      <c r="M473" s="194" t="str">
        <f>IF(C473="BF","BF",MIN(G473,L473))</f>
        <v>BF</v>
      </c>
    </row>
    <row r="474">
      <c r="A474" s="182">
        <f>A394</f>
        <v>101</v>
      </c>
      <c r="B474" s="131" t="str">
        <f>D231</f>
        <v>Negative</v>
      </c>
      <c r="C474" s="195" t="str">
        <f>IF(B474="Positive",IF(G394=2,"OF","BF"),"BF")</f>
        <v>BF</v>
      </c>
      <c r="D474" s="179">
        <f>H394/2/D394</f>
        <v>11.363636363636363</v>
      </c>
      <c r="E474" s="192">
        <f>0.38*SQRT(INPUT!$B$2/INPUT!AO60)</f>
        <v>0</v>
      </c>
      <c r="F474" s="192">
        <f>0.56*SQRT(INPUT!$B$2/MAX(MIN(0.7*INPUT!AO60,INPUT!AQ60),0.5*INPUT!AO60))</f>
        <v>0</v>
      </c>
      <c r="G474" s="192" t="e">
        <f>IF(D474&lt;=E474,1*N394*INPUT!AO60,(1-(1-MAX(MIN(0.7*INPUT!AO60,INPUT!AQ60),0.5*INPUT!AO60)/N394/INPUT!AO60)*((D474-E474)/(F474-E474)))*1*N394*INPUT!AO60)</f>
        <v>#DIV/0!</v>
      </c>
      <c r="H474" s="188">
        <f>B151</f>
        <v>3175</v>
      </c>
      <c r="I474" s="196">
        <f>J231</f>
        <v>0</v>
      </c>
      <c r="J474" s="174">
        <f>PI()*F231*SQRT(INPUT!$B$2/MAX(MIN(0.7*INPUT!AO60,INPUT!AQ60),0.5*INPUT!AO60))</f>
        <v>0</v>
      </c>
      <c r="K474" s="191">
        <f>1*1*(PI()^2)*INPUT!$B$2/(H474/F231)^2</f>
        <v>0</v>
      </c>
      <c r="L474" s="192">
        <f>IF(H474&lt;=I474,1*N394*INPUT!AO60,IF(H474&lt;=J474,MIN(1*(1-(1-MAX(MIN(0.7*INPUT!AO60,INPUT!AQ60),0.5*INPUT!AO60)/N394/INPUT!AO60)*((H474-I474)/(J474-I474)))*1*N394*INPUT!AO60,1*N394*INPUT!AO60),MIN(K474,1*N394*INPUT!AO60)))</f>
        <v>0</v>
      </c>
      <c r="M474" s="194" t="str">
        <f>IF(C474="BF","BF",MIN(G474,L474))</f>
        <v>BF</v>
      </c>
    </row>
    <row r="475">
      <c r="A475" s="182">
        <f>A395</f>
        <v>101</v>
      </c>
      <c r="B475" s="131" t="str">
        <f>D232</f>
        <v>Negative</v>
      </c>
      <c r="C475" s="195" t="str">
        <f>IF(B475="Positive",IF(G395=2,"OF","BF"),"BF")</f>
        <v>BF</v>
      </c>
      <c r="D475" s="179">
        <f>H395/2/D395</f>
        <v>11.363636363636363</v>
      </c>
      <c r="E475" s="192">
        <f>0.38*SQRT(INPUT!$B$2/INPUT!AO61)</f>
        <v>0</v>
      </c>
      <c r="F475" s="192">
        <f>0.56*SQRT(INPUT!$B$2/MAX(MIN(0.7*INPUT!AO61,INPUT!AQ61),0.5*INPUT!AO61))</f>
        <v>0</v>
      </c>
      <c r="G475" s="192" t="e">
        <f>IF(D475&lt;=E475,1*N395*INPUT!AO61,(1-(1-MAX(MIN(0.7*INPUT!AO61,INPUT!AQ61),0.5*INPUT!AO61)/N395/INPUT!AO61)*((D475-E475)/(F475-E475)))*1*N395*INPUT!AO61)</f>
        <v>#DIV/0!</v>
      </c>
      <c r="H475" s="188">
        <f>B152</f>
        <v>3175</v>
      </c>
      <c r="I475" s="196">
        <f>J232</f>
        <v>0</v>
      </c>
      <c r="J475" s="174">
        <f>PI()*F232*SQRT(INPUT!$B$2/MAX(MIN(0.7*INPUT!AO61,INPUT!AQ61),0.5*INPUT!AO61))</f>
        <v>0</v>
      </c>
      <c r="K475" s="191">
        <f>1*1*(PI()^2)*INPUT!$B$2/(H475/F232)^2</f>
        <v>0</v>
      </c>
      <c r="L475" s="192">
        <f>IF(H475&lt;=I475,1*N395*INPUT!AO61,IF(H475&lt;=J475,MIN(1*(1-(1-MAX(MIN(0.7*INPUT!AO61,INPUT!AQ61),0.5*INPUT!AO61)/N395/INPUT!AO61)*((H475-I475)/(J475-I475)))*1*N395*INPUT!AO61,1*N395*INPUT!AO61),MIN(K475,1*N395*INPUT!AO61)))</f>
        <v>0</v>
      </c>
      <c r="M475" s="194" t="str">
        <f>IF(C475="BF","BF",MIN(G475,L475))</f>
        <v>BF</v>
      </c>
    </row>
    <row r="476">
      <c r="A476" s="182">
        <f>A396</f>
        <v>101</v>
      </c>
      <c r="B476" s="131" t="str">
        <f>D233</f>
        <v>Negative</v>
      </c>
      <c r="C476" s="195" t="str">
        <f>IF(B476="Positive",IF(G396=2,"OF","BF"),"BF")</f>
        <v>BF</v>
      </c>
      <c r="D476" s="179">
        <f>H396/2/D396</f>
        <v>11.363636363636363</v>
      </c>
      <c r="E476" s="192">
        <f>0.38*SQRT(INPUT!$B$2/INPUT!AO62)</f>
        <v>0</v>
      </c>
      <c r="F476" s="192">
        <f>0.56*SQRT(INPUT!$B$2/MAX(MIN(0.7*INPUT!AO62,INPUT!AQ62),0.5*INPUT!AO62))</f>
        <v>0</v>
      </c>
      <c r="G476" s="192" t="e">
        <f>IF(D476&lt;=E476,1*N396*INPUT!AO62,(1-(1-MAX(MIN(0.7*INPUT!AO62,INPUT!AQ62),0.5*INPUT!AO62)/N396/INPUT!AO62)*((D476-E476)/(F476-E476)))*1*N396*INPUT!AO62)</f>
        <v>#DIV/0!</v>
      </c>
      <c r="H476" s="188">
        <f>B153</f>
        <v>3175</v>
      </c>
      <c r="I476" s="196">
        <f>J233</f>
        <v>0</v>
      </c>
      <c r="J476" s="174">
        <f>PI()*F233*SQRT(INPUT!$B$2/MAX(MIN(0.7*INPUT!AO62,INPUT!AQ62),0.5*INPUT!AO62))</f>
        <v>0</v>
      </c>
      <c r="K476" s="191">
        <f>1*1*(PI()^2)*INPUT!$B$2/(H476/F233)^2</f>
        <v>0</v>
      </c>
      <c r="L476" s="192">
        <f>IF(H476&lt;=I476,1*N396*INPUT!AO62,IF(H476&lt;=J476,MIN(1*(1-(1-MAX(MIN(0.7*INPUT!AO62,INPUT!AQ62),0.5*INPUT!AO62)/N396/INPUT!AO62)*((H476-I476)/(J476-I476)))*1*N396*INPUT!AO62,1*N396*INPUT!AO62),MIN(K476,1*N396*INPUT!AO62)))</f>
        <v>0</v>
      </c>
      <c r="M476" s="194" t="str">
        <f>IF(C476="BF","BF",MIN(G476,L476))</f>
        <v>BF</v>
      </c>
    </row>
    <row r="477">
      <c r="A477" s="182">
        <f>A397</f>
        <v>101</v>
      </c>
      <c r="B477" s="131" t="str">
        <f>D234</f>
        <v>Negative</v>
      </c>
      <c r="C477" s="195" t="str">
        <f>IF(B477="Positive",IF(G397=2,"OF","BF"),"BF")</f>
        <v>BF</v>
      </c>
      <c r="D477" s="179">
        <f>H397/2/D397</f>
        <v>11.363636363636363</v>
      </c>
      <c r="E477" s="192">
        <f>0.38*SQRT(INPUT!$B$2/INPUT!AO63)</f>
        <v>0</v>
      </c>
      <c r="F477" s="192">
        <f>0.56*SQRT(INPUT!$B$2/MAX(MIN(0.7*INPUT!AO63,INPUT!AQ63),0.5*INPUT!AO63))</f>
        <v>0</v>
      </c>
      <c r="G477" s="192" t="e">
        <f>IF(D477&lt;=E477,1*N397*INPUT!AO63,(1-(1-MAX(MIN(0.7*INPUT!AO63,INPUT!AQ63),0.5*INPUT!AO63)/N397/INPUT!AO63)*((D477-E477)/(F477-E477)))*1*N397*INPUT!AO63)</f>
        <v>#DIV/0!</v>
      </c>
      <c r="H477" s="188">
        <f>B154</f>
        <v>3175</v>
      </c>
      <c r="I477" s="196">
        <f>J234</f>
        <v>0</v>
      </c>
      <c r="J477" s="174">
        <f>PI()*F234*SQRT(INPUT!$B$2/MAX(MIN(0.7*INPUT!AO63,INPUT!AQ63),0.5*INPUT!AO63))</f>
        <v>0</v>
      </c>
      <c r="K477" s="191">
        <f>1*1*(PI()^2)*INPUT!$B$2/(H477/F234)^2</f>
        <v>0</v>
      </c>
      <c r="L477" s="192">
        <f>IF(H477&lt;=I477,1*N397*INPUT!AO63,IF(H477&lt;=J477,MIN(1*(1-(1-MAX(MIN(0.7*INPUT!AO63,INPUT!AQ63),0.5*INPUT!AO63)/N397/INPUT!AO63)*((H477-I477)/(J477-I477)))*1*N397*INPUT!AO63,1*N397*INPUT!AO63),MIN(K477,1*N397*INPUT!AO63)))</f>
        <v>0</v>
      </c>
      <c r="M477" s="194" t="str">
        <f>IF(C477="BF","BF",MIN(G477,L477))</f>
        <v>BF</v>
      </c>
    </row>
    <row r="478">
      <c r="A478" s="182">
        <f>A398</f>
        <v>101</v>
      </c>
      <c r="B478" s="131" t="str">
        <f>D235</f>
        <v>Negative</v>
      </c>
      <c r="C478" s="195" t="str">
        <f>IF(B478="Positive",IF(G398=2,"OF","BF"),"BF")</f>
        <v>BF</v>
      </c>
      <c r="D478" s="179">
        <f>H398/2/D398</f>
        <v>11.363636363636363</v>
      </c>
      <c r="E478" s="192">
        <f>0.38*SQRT(INPUT!$B$2/INPUT!AO64)</f>
        <v>0</v>
      </c>
      <c r="F478" s="192">
        <f>0.56*SQRT(INPUT!$B$2/MAX(MIN(0.7*INPUT!AO64,INPUT!AQ64),0.5*INPUT!AO64))</f>
        <v>0</v>
      </c>
      <c r="G478" s="192" t="e">
        <f>IF(D478&lt;=E478,1*N398*INPUT!AO64,(1-(1-MAX(MIN(0.7*INPUT!AO64,INPUT!AQ64),0.5*INPUT!AO64)/N398/INPUT!AO64)*((D478-E478)/(F478-E478)))*1*N398*INPUT!AO64)</f>
        <v>#DIV/0!</v>
      </c>
      <c r="H478" s="188">
        <f>B155</f>
        <v>3175</v>
      </c>
      <c r="I478" s="196">
        <f>J235</f>
        <v>0</v>
      </c>
      <c r="J478" s="174">
        <f>PI()*F235*SQRT(INPUT!$B$2/MAX(MIN(0.7*INPUT!AO64,INPUT!AQ64),0.5*INPUT!AO64))</f>
        <v>0</v>
      </c>
      <c r="K478" s="191">
        <f>1*1*(PI()^2)*INPUT!$B$2/(H478/F235)^2</f>
        <v>0</v>
      </c>
      <c r="L478" s="192">
        <f>IF(H478&lt;=I478,1*N398*INPUT!AO64,IF(H478&lt;=J478,MIN(1*(1-(1-MAX(MIN(0.7*INPUT!AO64,INPUT!AQ64),0.5*INPUT!AO64)/N398/INPUT!AO64)*((H478-I478)/(J478-I478)))*1*N398*INPUT!AO64,1*N398*INPUT!AO64),MIN(K478,1*N398*INPUT!AO64)))</f>
        <v>0</v>
      </c>
      <c r="M478" s="194" t="str">
        <f>IF(C478="BF","BF",MIN(G478,L478))</f>
        <v>BF</v>
      </c>
    </row>
    <row r="479">
      <c r="A479" s="182">
        <f>A399</f>
        <v>101</v>
      </c>
      <c r="B479" s="131" t="str">
        <f>D236</f>
        <v>Negative</v>
      </c>
      <c r="C479" s="195" t="str">
        <f>IF(B479="Positive",IF(G399=2,"OF","BF"),"BF")</f>
        <v>BF</v>
      </c>
      <c r="D479" s="179">
        <f>H399/2/D399</f>
        <v>11.363636363636363</v>
      </c>
      <c r="E479" s="192">
        <f>0.38*SQRT(INPUT!$B$2/INPUT!AO65)</f>
        <v>0</v>
      </c>
      <c r="F479" s="192">
        <f>0.56*SQRT(INPUT!$B$2/MAX(MIN(0.7*INPUT!AO65,INPUT!AQ65),0.5*INPUT!AO65))</f>
        <v>0</v>
      </c>
      <c r="G479" s="192" t="e">
        <f>IF(D479&lt;=E479,1*N399*INPUT!AO65,(1-(1-MAX(MIN(0.7*INPUT!AO65,INPUT!AQ65),0.5*INPUT!AO65)/N399/INPUT!AO65)*((D479-E479)/(F479-E479)))*1*N399*INPUT!AO65)</f>
        <v>#DIV/0!</v>
      </c>
      <c r="H479" s="188">
        <f>B156</f>
        <v>3175</v>
      </c>
      <c r="I479" s="196">
        <f>J236</f>
        <v>0</v>
      </c>
      <c r="J479" s="174">
        <f>PI()*F236*SQRT(INPUT!$B$2/MAX(MIN(0.7*INPUT!AO65,INPUT!AQ65),0.5*INPUT!AO65))</f>
        <v>0</v>
      </c>
      <c r="K479" s="191">
        <f>1*1*(PI()^2)*INPUT!$B$2/(H479/F236)^2</f>
        <v>0</v>
      </c>
      <c r="L479" s="192">
        <f>IF(H479&lt;=I479,1*N399*INPUT!AO65,IF(H479&lt;=J479,MIN(1*(1-(1-MAX(MIN(0.7*INPUT!AO65,INPUT!AQ65),0.5*INPUT!AO65)/N399/INPUT!AO65)*((H479-I479)/(J479-I479)))*1*N399*INPUT!AO65,1*N399*INPUT!AO65),MIN(K479,1*N399*INPUT!AO65)))</f>
        <v>0</v>
      </c>
      <c r="M479" s="194" t="str">
        <f>IF(C479="BF","BF",MIN(G479,L479))</f>
        <v>BF</v>
      </c>
    </row>
    <row r="480">
      <c r="A480" s="182">
        <f>A400</f>
        <v>101</v>
      </c>
      <c r="B480" s="131" t="str">
        <f>D237</f>
        <v>Negative</v>
      </c>
      <c r="C480" s="195" t="str">
        <f>IF(B480="Positive",IF(G400=2,"OF","BF"),"BF")</f>
        <v>BF</v>
      </c>
      <c r="D480" s="179">
        <f>H400/2/D400</f>
        <v>11.363636363636363</v>
      </c>
      <c r="E480" s="192">
        <f>0.38*SQRT(INPUT!$B$2/INPUT!AO66)</f>
        <v>0</v>
      </c>
      <c r="F480" s="192">
        <f>0.56*SQRT(INPUT!$B$2/MAX(MIN(0.7*INPUT!AO66,INPUT!AQ66),0.5*INPUT!AO66))</f>
        <v>0</v>
      </c>
      <c r="G480" s="192" t="e">
        <f>IF(D480&lt;=E480,1*N400*INPUT!AO66,(1-(1-MAX(MIN(0.7*INPUT!AO66,INPUT!AQ66),0.5*INPUT!AO66)/N400/INPUT!AO66)*((D480-E480)/(F480-E480)))*1*N400*INPUT!AO66)</f>
        <v>#DIV/0!</v>
      </c>
      <c r="H480" s="188">
        <f>B157</f>
        <v>3175</v>
      </c>
      <c r="I480" s="196">
        <f>J237</f>
        <v>0</v>
      </c>
      <c r="J480" s="174">
        <f>PI()*F237*SQRT(INPUT!$B$2/MAX(MIN(0.7*INPUT!AO66,INPUT!AQ66),0.5*INPUT!AO66))</f>
        <v>0</v>
      </c>
      <c r="K480" s="191">
        <f>1*1*(PI()^2)*INPUT!$B$2/(H480/F237)^2</f>
        <v>0</v>
      </c>
      <c r="L480" s="192">
        <f>IF(H480&lt;=I480,1*N400*INPUT!AO66,IF(H480&lt;=J480,MIN(1*(1-(1-MAX(MIN(0.7*INPUT!AO66,INPUT!AQ66),0.5*INPUT!AO66)/N400/INPUT!AO66)*((H480-I480)/(J480-I480)))*1*N400*INPUT!AO66,1*N400*INPUT!AO66),MIN(K480,1*N400*INPUT!AO66)))</f>
        <v>0</v>
      </c>
      <c r="M480" s="194" t="str">
        <f>IF(C480="BF","BF",MIN(G480,L480))</f>
        <v>BF</v>
      </c>
    </row>
    <row r="481">
      <c r="A481" s="182">
        <f>A401</f>
        <v>101</v>
      </c>
      <c r="B481" s="131" t="str">
        <f>D238</f>
        <v>Negative</v>
      </c>
      <c r="C481" s="195" t="str">
        <f>IF(B481="Positive",IF(G401=2,"OF","BF"),"BF")</f>
        <v>BF</v>
      </c>
      <c r="D481" s="179">
        <f>H401/2/D401</f>
        <v>11.363636363636363</v>
      </c>
      <c r="E481" s="192">
        <f>0.38*SQRT(INPUT!$B$2/INPUT!AO67)</f>
        <v>0</v>
      </c>
      <c r="F481" s="192">
        <f>0.56*SQRT(INPUT!$B$2/MAX(MIN(0.7*INPUT!AO67,INPUT!AQ67),0.5*INPUT!AO67))</f>
        <v>0</v>
      </c>
      <c r="G481" s="192" t="e">
        <f>IF(D481&lt;=E481,1*N401*INPUT!AO67,(1-(1-MAX(MIN(0.7*INPUT!AO67,INPUT!AQ67),0.5*INPUT!AO67)/N401/INPUT!AO67)*((D481-E481)/(F481-E481)))*1*N401*INPUT!AO67)</f>
        <v>#DIV/0!</v>
      </c>
      <c r="H481" s="188">
        <f>B158</f>
        <v>3175</v>
      </c>
      <c r="I481" s="196">
        <f>J238</f>
        <v>0</v>
      </c>
      <c r="J481" s="174">
        <f>PI()*F238*SQRT(INPUT!$B$2/MAX(MIN(0.7*INPUT!AO67,INPUT!AQ67),0.5*INPUT!AO67))</f>
        <v>0</v>
      </c>
      <c r="K481" s="191">
        <f>1*1*(PI()^2)*INPUT!$B$2/(H481/F238)^2</f>
        <v>0</v>
      </c>
      <c r="L481" s="192">
        <f>IF(H481&lt;=I481,1*N401*INPUT!AO67,IF(H481&lt;=J481,MIN(1*(1-(1-MAX(MIN(0.7*INPUT!AO67,INPUT!AQ67),0.5*INPUT!AO67)/N401/INPUT!AO67)*((H481-I481)/(J481-I481)))*1*N401*INPUT!AO67,1*N401*INPUT!AO67),MIN(K481,1*N401*INPUT!AO67)))</f>
        <v>0</v>
      </c>
      <c r="M481" s="194" t="str">
        <f>IF(C481="BF","BF",MIN(G481,L481))</f>
        <v>BF</v>
      </c>
    </row>
    <row r="482">
      <c r="A482" s="182">
        <f>A402</f>
        <v>101</v>
      </c>
      <c r="B482" s="131" t="str">
        <f>D239</f>
        <v>Negative</v>
      </c>
      <c r="C482" s="195" t="str">
        <f>IF(B482="Positive",IF(G402=2,"OF","BF"),"BF")</f>
        <v>BF</v>
      </c>
      <c r="D482" s="179">
        <f>H402/2/D402</f>
        <v>11.363636363636363</v>
      </c>
      <c r="E482" s="192">
        <f>0.38*SQRT(INPUT!$B$2/INPUT!AO68)</f>
        <v>0</v>
      </c>
      <c r="F482" s="192">
        <f>0.56*SQRT(INPUT!$B$2/MAX(MIN(0.7*INPUT!AO68,INPUT!AQ68),0.5*INPUT!AO68))</f>
        <v>0</v>
      </c>
      <c r="G482" s="192" t="e">
        <f>IF(D482&lt;=E482,1*N402*INPUT!AO68,(1-(1-MAX(MIN(0.7*INPUT!AO68,INPUT!AQ68),0.5*INPUT!AO68)/N402/INPUT!AO68)*((D482-E482)/(F482-E482)))*1*N402*INPUT!AO68)</f>
        <v>#DIV/0!</v>
      </c>
      <c r="H482" s="188">
        <f>B159</f>
        <v>3175</v>
      </c>
      <c r="I482" s="196">
        <f>J239</f>
        <v>0</v>
      </c>
      <c r="J482" s="174">
        <f>PI()*F239*SQRT(INPUT!$B$2/MAX(MIN(0.7*INPUT!AO68,INPUT!AQ68),0.5*INPUT!AO68))</f>
        <v>0</v>
      </c>
      <c r="K482" s="191">
        <f>1*1*(PI()^2)*INPUT!$B$2/(H482/F239)^2</f>
        <v>0</v>
      </c>
      <c r="L482" s="192">
        <f>IF(H482&lt;=I482,1*N402*INPUT!AO68,IF(H482&lt;=J482,MIN(1*(1-(1-MAX(MIN(0.7*INPUT!AO68,INPUT!AQ68),0.5*INPUT!AO68)/N402/INPUT!AO68)*((H482-I482)/(J482-I482)))*1*N402*INPUT!AO68,1*N402*INPUT!AO68),MIN(K482,1*N402*INPUT!AO68)))</f>
        <v>0</v>
      </c>
      <c r="M482" s="194" t="str">
        <f>IF(C482="BF","BF",MIN(G482,L482))</f>
        <v>BF</v>
      </c>
    </row>
    <row r="483">
      <c r="A483" s="182">
        <f>A403</f>
        <v>101</v>
      </c>
      <c r="B483" s="131" t="str">
        <f>D240</f>
        <v>Negative</v>
      </c>
      <c r="C483" s="195" t="str">
        <f>IF(B483="Positive",IF(G403=2,"OF","BF"),"BF")</f>
        <v>BF</v>
      </c>
      <c r="D483" s="179">
        <f>H403/2/D403</f>
        <v>11.363636363636363</v>
      </c>
      <c r="E483" s="192">
        <f>0.38*SQRT(INPUT!$B$2/INPUT!AO69)</f>
        <v>0</v>
      </c>
      <c r="F483" s="192">
        <f>0.56*SQRT(INPUT!$B$2/MAX(MIN(0.7*INPUT!AO69,INPUT!AQ69),0.5*INPUT!AO69))</f>
        <v>0</v>
      </c>
      <c r="G483" s="192" t="e">
        <f>IF(D483&lt;=E483,1*N403*INPUT!AO69,(1-(1-MAX(MIN(0.7*INPUT!AO69,INPUT!AQ69),0.5*INPUT!AO69)/N403/INPUT!AO69)*((D483-E483)/(F483-E483)))*1*N403*INPUT!AO69)</f>
        <v>#DIV/0!</v>
      </c>
      <c r="H483" s="188">
        <f>B160</f>
        <v>3175</v>
      </c>
      <c r="I483" s="196">
        <f>J240</f>
        <v>0</v>
      </c>
      <c r="J483" s="174">
        <f>PI()*F240*SQRT(INPUT!$B$2/MAX(MIN(0.7*INPUT!AO69,INPUT!AQ69),0.5*INPUT!AO69))</f>
        <v>0</v>
      </c>
      <c r="K483" s="191">
        <f>1*1*(PI()^2)*INPUT!$B$2/(H483/F240)^2</f>
        <v>0</v>
      </c>
      <c r="L483" s="192">
        <f>IF(H483&lt;=I483,1*N403*INPUT!AO69,IF(H483&lt;=J483,MIN(1*(1-(1-MAX(MIN(0.7*INPUT!AO69,INPUT!AQ69),0.5*INPUT!AO69)/N403/INPUT!AO69)*((H483-I483)/(J483-I483)))*1*N403*INPUT!AO69,1*N403*INPUT!AO69),MIN(K483,1*N403*INPUT!AO69)))</f>
        <v>0</v>
      </c>
      <c r="M483" s="194" t="str">
        <f>IF(C483="BF","BF",MIN(G483,L483))</f>
        <v>BF</v>
      </c>
    </row>
    <row r="484">
      <c r="A484" s="182">
        <f>A404</f>
        <v>101</v>
      </c>
      <c r="B484" s="131" t="str">
        <f>D241</f>
        <v>Negative</v>
      </c>
      <c r="C484" s="195" t="str">
        <f>IF(B484="Positive",IF(G404=2,"OF","BF"),"BF")</f>
        <v>BF</v>
      </c>
      <c r="D484" s="179">
        <f>H404/2/D404</f>
        <v>11.363636363636363</v>
      </c>
      <c r="E484" s="192">
        <f>0.38*SQRT(INPUT!$B$2/INPUT!AO70)</f>
        <v>0</v>
      </c>
      <c r="F484" s="192">
        <f>0.56*SQRT(INPUT!$B$2/MAX(MIN(0.7*INPUT!AO70,INPUT!AQ70),0.5*INPUT!AO70))</f>
        <v>0</v>
      </c>
      <c r="G484" s="192" t="e">
        <f>IF(D484&lt;=E484,1*N404*INPUT!AO70,(1-(1-MAX(MIN(0.7*INPUT!AO70,INPUT!AQ70),0.5*INPUT!AO70)/N404/INPUT!AO70)*((D484-E484)/(F484-E484)))*1*N404*INPUT!AO70)</f>
        <v>#DIV/0!</v>
      </c>
      <c r="H484" s="188">
        <f>B161</f>
        <v>3175</v>
      </c>
      <c r="I484" s="196">
        <f>J241</f>
        <v>0</v>
      </c>
      <c r="J484" s="174">
        <f>PI()*F241*SQRT(INPUT!$B$2/MAX(MIN(0.7*INPUT!AO70,INPUT!AQ70),0.5*INPUT!AO70))</f>
        <v>0</v>
      </c>
      <c r="K484" s="191">
        <f>1*1*(PI()^2)*INPUT!$B$2/(H484/F241)^2</f>
        <v>0</v>
      </c>
      <c r="L484" s="192">
        <f>IF(H484&lt;=I484,1*N404*INPUT!AO70,IF(H484&lt;=J484,MIN(1*(1-(1-MAX(MIN(0.7*INPUT!AO70,INPUT!AQ70),0.5*INPUT!AO70)/N404/INPUT!AO70)*((H484-I484)/(J484-I484)))*1*N404*INPUT!AO70,1*N404*INPUT!AO70),MIN(K484,1*N404*INPUT!AO70)))</f>
        <v>0</v>
      </c>
      <c r="M484" s="194" t="str">
        <f>IF(C484="BF","BF",MIN(G484,L484))</f>
        <v>BF</v>
      </c>
    </row>
    <row r="485">
      <c r="A485" s="182">
        <f>A405</f>
        <v>101</v>
      </c>
      <c r="B485" s="131" t="str">
        <f>D242</f>
        <v>Negative</v>
      </c>
      <c r="C485" s="195" t="str">
        <f>IF(B485="Positive",IF(G405=2,"OF","BF"),"BF")</f>
        <v>BF</v>
      </c>
      <c r="D485" s="179">
        <f>H405/2/D405</f>
        <v>11.363636363636363</v>
      </c>
      <c r="E485" s="192">
        <f>0.38*SQRT(INPUT!$B$2/INPUT!AO71)</f>
        <v>0</v>
      </c>
      <c r="F485" s="192">
        <f>0.56*SQRT(INPUT!$B$2/MAX(MIN(0.7*INPUT!AO71,INPUT!AQ71),0.5*INPUT!AO71))</f>
        <v>0</v>
      </c>
      <c r="G485" s="192" t="e">
        <f>IF(D485&lt;=E485,1*N405*INPUT!AO71,(1-(1-MAX(MIN(0.7*INPUT!AO71,INPUT!AQ71),0.5*INPUT!AO71)/N405/INPUT!AO71)*((D485-E485)/(F485-E485)))*1*N405*INPUT!AO71)</f>
        <v>#DIV/0!</v>
      </c>
      <c r="H485" s="188">
        <f>B162</f>
        <v>3175</v>
      </c>
      <c r="I485" s="196">
        <f>J242</f>
        <v>0</v>
      </c>
      <c r="J485" s="174">
        <f>PI()*F242*SQRT(INPUT!$B$2/MAX(MIN(0.7*INPUT!AO71,INPUT!AQ71),0.5*INPUT!AO71))</f>
        <v>0</v>
      </c>
      <c r="K485" s="191">
        <f>1*1*(PI()^2)*INPUT!$B$2/(H485/F242)^2</f>
        <v>0</v>
      </c>
      <c r="L485" s="192">
        <f>IF(H485&lt;=I485,1*N405*INPUT!AO71,IF(H485&lt;=J485,MIN(1*(1-(1-MAX(MIN(0.7*INPUT!AO71,INPUT!AQ71),0.5*INPUT!AO71)/N405/INPUT!AO71)*((H485-I485)/(J485-I485)))*1*N405*INPUT!AO71,1*N405*INPUT!AO71),MIN(K485,1*N405*INPUT!AO71)))</f>
        <v>0</v>
      </c>
      <c r="M485" s="194" t="str">
        <f>IF(C485="BF","BF",MIN(G485,L485))</f>
        <v>BF</v>
      </c>
    </row>
    <row r="486">
      <c r="A486" s="182">
        <f>A406</f>
        <v>101</v>
      </c>
      <c r="B486" s="131" t="str">
        <f>D243</f>
        <v>Negative</v>
      </c>
      <c r="C486" s="195" t="str">
        <f>IF(B486="Positive",IF(G406=2,"OF","BF"),"BF")</f>
        <v>BF</v>
      </c>
      <c r="D486" s="179">
        <f>H406/2/D406</f>
        <v>11.363636363636363</v>
      </c>
      <c r="E486" s="192">
        <f>0.38*SQRT(INPUT!$B$2/INPUT!AO72)</f>
        <v>0</v>
      </c>
      <c r="F486" s="192">
        <f>0.56*SQRT(INPUT!$B$2/MAX(MIN(0.7*INPUT!AO72,INPUT!AQ72),0.5*INPUT!AO72))</f>
        <v>0</v>
      </c>
      <c r="G486" s="192" t="e">
        <f>IF(D486&lt;=E486,1*N406*INPUT!AO72,(1-(1-MAX(MIN(0.7*INPUT!AO72,INPUT!AQ72),0.5*INPUT!AO72)/N406/INPUT!AO72)*((D486-E486)/(F486-E486)))*1*N406*INPUT!AO72)</f>
        <v>#DIV/0!</v>
      </c>
      <c r="H486" s="188">
        <f>B163</f>
        <v>3175</v>
      </c>
      <c r="I486" s="196">
        <f>J243</f>
        <v>0</v>
      </c>
      <c r="J486" s="174">
        <f>PI()*F243*SQRT(INPUT!$B$2/MAX(MIN(0.7*INPUT!AO72,INPUT!AQ72),0.5*INPUT!AO72))</f>
        <v>0</v>
      </c>
      <c r="K486" s="191">
        <f>1*1*(PI()^2)*INPUT!$B$2/(H486/F243)^2</f>
        <v>0</v>
      </c>
      <c r="L486" s="192">
        <f>IF(H486&lt;=I486,1*N406*INPUT!AO72,IF(H486&lt;=J486,MIN(1*(1-(1-MAX(MIN(0.7*INPUT!AO72,INPUT!AQ72),0.5*INPUT!AO72)/N406/INPUT!AO72)*((H486-I486)/(J486-I486)))*1*N406*INPUT!AO72,1*N406*INPUT!AO72),MIN(K486,1*N406*INPUT!AO72)))</f>
        <v>0</v>
      </c>
      <c r="M486" s="194" t="str">
        <f>IF(C486="BF","BF",MIN(G486,L486))</f>
        <v>BF</v>
      </c>
    </row>
    <row r="487">
      <c r="A487" s="182">
        <f>A407</f>
        <v>101</v>
      </c>
      <c r="B487" s="131" t="str">
        <f>D244</f>
        <v>Negative</v>
      </c>
      <c r="C487" s="195" t="str">
        <f>IF(B487="Positive",IF(G407=2,"OF","BF"),"BF")</f>
        <v>BF</v>
      </c>
      <c r="D487" s="179">
        <f>H407/2/D407</f>
        <v>11.363636363636363</v>
      </c>
      <c r="E487" s="192">
        <f>0.38*SQRT(INPUT!$B$2/INPUT!AO73)</f>
        <v>0</v>
      </c>
      <c r="F487" s="192">
        <f>0.56*SQRT(INPUT!$B$2/MAX(MIN(0.7*INPUT!AO73,INPUT!AQ73),0.5*INPUT!AO73))</f>
        <v>0</v>
      </c>
      <c r="G487" s="192" t="e">
        <f>IF(D487&lt;=E487,1*N407*INPUT!AO73,(1-(1-MAX(MIN(0.7*INPUT!AO73,INPUT!AQ73),0.5*INPUT!AO73)/N407/INPUT!AO73)*((D487-E487)/(F487-E487)))*1*N407*INPUT!AO73)</f>
        <v>#DIV/0!</v>
      </c>
      <c r="H487" s="188">
        <f>B164</f>
        <v>3175</v>
      </c>
      <c r="I487" s="196">
        <f>J244</f>
        <v>0</v>
      </c>
      <c r="J487" s="174">
        <f>PI()*F244*SQRT(INPUT!$B$2/MAX(MIN(0.7*INPUT!AO73,INPUT!AQ73),0.5*INPUT!AO73))</f>
        <v>0</v>
      </c>
      <c r="K487" s="191">
        <f>1*1*(PI()^2)*INPUT!$B$2/(H487/F244)^2</f>
        <v>0</v>
      </c>
      <c r="L487" s="192">
        <f>IF(H487&lt;=I487,1*N407*INPUT!AO73,IF(H487&lt;=J487,MIN(1*(1-(1-MAX(MIN(0.7*INPUT!AO73,INPUT!AQ73),0.5*INPUT!AO73)/N407/INPUT!AO73)*((H487-I487)/(J487-I487)))*1*N407*INPUT!AO73,1*N407*INPUT!AO73),MIN(K487,1*N407*INPUT!AO73)))</f>
        <v>0</v>
      </c>
      <c r="M487" s="194" t="str">
        <f>IF(C487="BF","BF",MIN(G487,L487))</f>
        <v>BF</v>
      </c>
    </row>
    <row r="488">
      <c r="A488" s="182">
        <f>A408</f>
        <v>101</v>
      </c>
      <c r="B488" s="131" t="str">
        <f>D245</f>
        <v>Negative</v>
      </c>
      <c r="C488" s="195" t="str">
        <f>IF(B488="Positive",IF(G408=2,"OF","BF"),"BF")</f>
        <v>BF</v>
      </c>
      <c r="D488" s="179">
        <f>H408/2/D408</f>
        <v>11.363636363636363</v>
      </c>
      <c r="E488" s="192">
        <f>0.38*SQRT(INPUT!$B$2/INPUT!AO74)</f>
        <v>0</v>
      </c>
      <c r="F488" s="192">
        <f>0.56*SQRT(INPUT!$B$2/MAX(MIN(0.7*INPUT!AO74,INPUT!AQ74),0.5*INPUT!AO74))</f>
        <v>0</v>
      </c>
      <c r="G488" s="192" t="e">
        <f>IF(D488&lt;=E488,1*N408*INPUT!AO74,(1-(1-MAX(MIN(0.7*INPUT!AO74,INPUT!AQ74),0.5*INPUT!AO74)/N408/INPUT!AO74)*((D488-E488)/(F488-E488)))*1*N408*INPUT!AO74)</f>
        <v>#DIV/0!</v>
      </c>
      <c r="H488" s="188">
        <f>B165</f>
        <v>3175</v>
      </c>
      <c r="I488" s="196">
        <f>J245</f>
        <v>0</v>
      </c>
      <c r="J488" s="174">
        <f>PI()*F245*SQRT(INPUT!$B$2/MAX(MIN(0.7*INPUT!AO74,INPUT!AQ74),0.5*INPUT!AO74))</f>
        <v>0</v>
      </c>
      <c r="K488" s="191">
        <f>1*1*(PI()^2)*INPUT!$B$2/(H488/F245)^2</f>
        <v>0</v>
      </c>
      <c r="L488" s="192">
        <f>IF(H488&lt;=I488,1*N408*INPUT!AO74,IF(H488&lt;=J488,MIN(1*(1-(1-MAX(MIN(0.7*INPUT!AO74,INPUT!AQ74),0.5*INPUT!AO74)/N408/INPUT!AO74)*((H488-I488)/(J488-I488)))*1*N408*INPUT!AO74,1*N408*INPUT!AO74),MIN(K488,1*N408*INPUT!AO74)))</f>
        <v>0</v>
      </c>
      <c r="M488" s="194" t="str">
        <f>IF(C488="BF","BF",MIN(G488,L488))</f>
        <v>BF</v>
      </c>
    </row>
    <row r="489">
      <c r="A489" s="182">
        <f>A409</f>
        <v>101</v>
      </c>
      <c r="B489" s="131" t="str">
        <f>D246</f>
        <v>Negative</v>
      </c>
      <c r="C489" s="195" t="str">
        <f>IF(B489="Positive",IF(G409=2,"OF","BF"),"BF")</f>
        <v>BF</v>
      </c>
      <c r="D489" s="179">
        <f>H409/2/D409</f>
        <v>11.363636363636363</v>
      </c>
      <c r="E489" s="192">
        <f>0.38*SQRT(INPUT!$B$2/INPUT!AO75)</f>
        <v>0</v>
      </c>
      <c r="F489" s="192">
        <f>0.56*SQRT(INPUT!$B$2/MAX(MIN(0.7*INPUT!AO75,INPUT!AQ75),0.5*INPUT!AO75))</f>
        <v>0</v>
      </c>
      <c r="G489" s="192" t="e">
        <f>IF(D489&lt;=E489,1*N409*INPUT!AO75,(1-(1-MAX(MIN(0.7*INPUT!AO75,INPUT!AQ75),0.5*INPUT!AO75)/N409/INPUT!AO75)*((D489-E489)/(F489-E489)))*1*N409*INPUT!AO75)</f>
        <v>#DIV/0!</v>
      </c>
      <c r="H489" s="188">
        <f>B166</f>
        <v>3175</v>
      </c>
      <c r="I489" s="196">
        <f>J246</f>
        <v>0</v>
      </c>
      <c r="J489" s="174">
        <f>PI()*F246*SQRT(INPUT!$B$2/MAX(MIN(0.7*INPUT!AO75,INPUT!AQ75),0.5*INPUT!AO75))</f>
        <v>0</v>
      </c>
      <c r="K489" s="191">
        <f>1*1*(PI()^2)*INPUT!$B$2/(H489/F246)^2</f>
        <v>0</v>
      </c>
      <c r="L489" s="192">
        <f>IF(H489&lt;=I489,1*N409*INPUT!AO75,IF(H489&lt;=J489,MIN(1*(1-(1-MAX(MIN(0.7*INPUT!AO75,INPUT!AQ75),0.5*INPUT!AO75)/N409/INPUT!AO75)*((H489-I489)/(J489-I489)))*1*N409*INPUT!AO75,1*N409*INPUT!AO75),MIN(K489,1*N409*INPUT!AO75)))</f>
        <v>0</v>
      </c>
      <c r="M489" s="194" t="str">
        <f>IF(C489="BF","BF",MIN(G489,L489))</f>
        <v>BF</v>
      </c>
    </row>
    <row r="490">
      <c r="A490" s="182">
        <f>A410</f>
        <v>101</v>
      </c>
      <c r="B490" s="131" t="str">
        <f>D247</f>
        <v>Negative</v>
      </c>
      <c r="C490" s="195" t="str">
        <f>IF(B490="Positive",IF(G410=2,"OF","BF"),"BF")</f>
        <v>BF</v>
      </c>
      <c r="D490" s="179">
        <f>H410/2/D410</f>
        <v>11.363636363636363</v>
      </c>
      <c r="E490" s="192">
        <f>0.38*SQRT(INPUT!$B$2/INPUT!AO76)</f>
        <v>0</v>
      </c>
      <c r="F490" s="192">
        <f>0.56*SQRT(INPUT!$B$2/MAX(MIN(0.7*INPUT!AO76,INPUT!AQ76),0.5*INPUT!AO76))</f>
        <v>0</v>
      </c>
      <c r="G490" s="192" t="e">
        <f>IF(D490&lt;=E490,1*N410*INPUT!AO76,(1-(1-MAX(MIN(0.7*INPUT!AO76,INPUT!AQ76),0.5*INPUT!AO76)/N410/INPUT!AO76)*((D490-E490)/(F490-E490)))*1*N410*INPUT!AO76)</f>
        <v>#DIV/0!</v>
      </c>
      <c r="H490" s="188">
        <f>B167</f>
        <v>3175</v>
      </c>
      <c r="I490" s="196">
        <f>J247</f>
        <v>0</v>
      </c>
      <c r="J490" s="174">
        <f>PI()*F247*SQRT(INPUT!$B$2/MAX(MIN(0.7*INPUT!AO76,INPUT!AQ76),0.5*INPUT!AO76))</f>
        <v>0</v>
      </c>
      <c r="K490" s="191">
        <f>1*1*(PI()^2)*INPUT!$B$2/(H490/F247)^2</f>
        <v>0</v>
      </c>
      <c r="L490" s="192">
        <f>IF(H490&lt;=I490,1*N410*INPUT!AO76,IF(H490&lt;=J490,MIN(1*(1-(1-MAX(MIN(0.7*INPUT!AO76,INPUT!AQ76),0.5*INPUT!AO76)/N410/INPUT!AO76)*((H490-I490)/(J490-I490)))*1*N410*INPUT!AO76,1*N410*INPUT!AO76),MIN(K490,1*N410*INPUT!AO76)))</f>
        <v>0</v>
      </c>
      <c r="M490" s="194" t="str">
        <f>IF(C490="BF","BF",MIN(G490,L490))</f>
        <v>BF</v>
      </c>
    </row>
    <row r="491">
      <c r="A491" s="182">
        <f>A411</f>
        <v>101</v>
      </c>
      <c r="B491" s="131" t="str">
        <f>D248</f>
        <v>Negative</v>
      </c>
      <c r="C491" s="195" t="str">
        <f>IF(B491="Positive",IF(G411=2,"OF","BF"),"BF")</f>
        <v>BF</v>
      </c>
      <c r="D491" s="179">
        <f>H411/2/D411</f>
        <v>11.363636363636363</v>
      </c>
      <c r="E491" s="192">
        <f>0.38*SQRT(INPUT!$B$2/INPUT!AO77)</f>
        <v>0</v>
      </c>
      <c r="F491" s="192">
        <f>0.56*SQRT(INPUT!$B$2/MAX(MIN(0.7*INPUT!AO77,INPUT!AQ77),0.5*INPUT!AO77))</f>
        <v>0</v>
      </c>
      <c r="G491" s="192" t="e">
        <f>IF(D491&lt;=E491,1*N411*INPUT!AO77,(1-(1-MAX(MIN(0.7*INPUT!AO77,INPUT!AQ77),0.5*INPUT!AO77)/N411/INPUT!AO77)*((D491-E491)/(F491-E491)))*1*N411*INPUT!AO77)</f>
        <v>#DIV/0!</v>
      </c>
      <c r="H491" s="188">
        <f>B168</f>
        <v>3175</v>
      </c>
      <c r="I491" s="196">
        <f>J248</f>
        <v>0</v>
      </c>
      <c r="J491" s="174">
        <f>PI()*F248*SQRT(INPUT!$B$2/MAX(MIN(0.7*INPUT!AO77,INPUT!AQ77),0.5*INPUT!AO77))</f>
        <v>0</v>
      </c>
      <c r="K491" s="191">
        <f>1*1*(PI()^2)*INPUT!$B$2/(H491/F248)^2</f>
        <v>0</v>
      </c>
      <c r="L491" s="192">
        <f>IF(H491&lt;=I491,1*N411*INPUT!AO77,IF(H491&lt;=J491,MIN(1*(1-(1-MAX(MIN(0.7*INPUT!AO77,INPUT!AQ77),0.5*INPUT!AO77)/N411/INPUT!AO77)*((H491-I491)/(J491-I491)))*1*N411*INPUT!AO77,1*N411*INPUT!AO77),MIN(K491,1*N411*INPUT!AO77)))</f>
        <v>0</v>
      </c>
      <c r="M491" s="194" t="str">
        <f>IF(C491="BF","BF",MIN(G491,L491))</f>
        <v>BF</v>
      </c>
    </row>
    <row r="492">
      <c r="A492" s="182">
        <f>A412</f>
        <v>101</v>
      </c>
      <c r="B492" s="131" t="str">
        <f>D249</f>
        <v>Negative</v>
      </c>
      <c r="C492" s="195" t="str">
        <f>IF(B492="Positive",IF(G412=2,"OF","BF"),"BF")</f>
        <v>BF</v>
      </c>
      <c r="D492" s="179">
        <f>H412/2/D412</f>
        <v>11.363636363636363</v>
      </c>
      <c r="E492" s="192">
        <f>0.38*SQRT(INPUT!$B$2/INPUT!AO78)</f>
        <v>0</v>
      </c>
      <c r="F492" s="192">
        <f>0.56*SQRT(INPUT!$B$2/MAX(MIN(0.7*INPUT!AO78,INPUT!AQ78),0.5*INPUT!AO78))</f>
        <v>0</v>
      </c>
      <c r="G492" s="192" t="e">
        <f>IF(D492&lt;=E492,1*N412*INPUT!AO78,(1-(1-MAX(MIN(0.7*INPUT!AO78,INPUT!AQ78),0.5*INPUT!AO78)/N412/INPUT!AO78)*((D492-E492)/(F492-E492)))*1*N412*INPUT!AO78)</f>
        <v>#DIV/0!</v>
      </c>
      <c r="H492" s="188">
        <f>B169</f>
        <v>3175</v>
      </c>
      <c r="I492" s="196">
        <f>J249</f>
        <v>0</v>
      </c>
      <c r="J492" s="174">
        <f>PI()*F249*SQRT(INPUT!$B$2/MAX(MIN(0.7*INPUT!AO78,INPUT!AQ78),0.5*INPUT!AO78))</f>
        <v>0</v>
      </c>
      <c r="K492" s="191">
        <f>1*1*(PI()^2)*INPUT!$B$2/(H492/F249)^2</f>
        <v>0</v>
      </c>
      <c r="L492" s="192">
        <f>IF(H492&lt;=I492,1*N412*INPUT!AO78,IF(H492&lt;=J492,MIN(1*(1-(1-MAX(MIN(0.7*INPUT!AO78,INPUT!AQ78),0.5*INPUT!AO78)/N412/INPUT!AO78)*((H492-I492)/(J492-I492)))*1*N412*INPUT!AO78,1*N412*INPUT!AO78),MIN(K492,1*N412*INPUT!AO78)))</f>
        <v>0</v>
      </c>
      <c r="M492" s="194" t="str">
        <f>IF(C492="BF","BF",MIN(G492,L492))</f>
        <v>BF</v>
      </c>
    </row>
    <row r="493"/>
    <row r="494" ht="15" customHeight="1">
      <c r="A494" s="59" t="s">
        <v>378</v>
      </c>
      <c r="B494" s="4"/>
      <c r="C494" s="4"/>
      <c r="D494" s="4"/>
      <c r="E494" s="4"/>
      <c r="F494" s="4"/>
      <c r="G494" s="110"/>
      <c r="H494" s="110"/>
      <c r="I494" s="110"/>
      <c r="J494" s="4"/>
      <c r="K494" s="4"/>
      <c r="L494" s="5"/>
      <c r="M494" s="4"/>
    </row>
    <row r="495" ht="15" customHeight="1">
      <c r="A495" s="135" t="s">
        <v>230</v>
      </c>
      <c r="B495" s="494" t="s">
        <v>379</v>
      </c>
      <c r="C495" s="498"/>
      <c r="D495" s="498"/>
      <c r="E495" s="498"/>
      <c r="F495" s="498"/>
      <c r="G495" s="498"/>
      <c r="H495" s="495"/>
      <c r="I495" s="494" t="s">
        <v>380</v>
      </c>
      <c r="J495" s="498"/>
      <c r="K495" s="495"/>
      <c r="L495" s="78" t="s">
        <v>381</v>
      </c>
      <c r="M495" s="74" t="s">
        <v>382</v>
      </c>
    </row>
    <row r="496" ht="15" customHeight="1">
      <c r="A496" s="136"/>
      <c r="B496" s="79" t="s">
        <v>356</v>
      </c>
      <c r="C496" s="79" t="s">
        <v>361</v>
      </c>
      <c r="D496" s="79" t="s">
        <v>357</v>
      </c>
      <c r="E496" s="76" t="s">
        <v>383</v>
      </c>
      <c r="F496" s="79" t="s">
        <v>32</v>
      </c>
      <c r="G496" s="76" t="s">
        <v>25</v>
      </c>
      <c r="H496" s="79" t="s">
        <v>384</v>
      </c>
      <c r="I496" s="137" t="s">
        <v>385</v>
      </c>
      <c r="J496" s="137" t="s">
        <v>386</v>
      </c>
      <c r="K496" s="137" t="s">
        <v>387</v>
      </c>
      <c r="L496" s="79"/>
      <c r="M496" s="77"/>
    </row>
    <row r="497" ht="15" customHeight="1">
      <c r="A497" s="187">
        <f>A417</f>
        <v>101</v>
      </c>
      <c r="B497" s="189">
        <f>D337</f>
        <v>22</v>
      </c>
      <c r="C497" s="197">
        <f>I337</f>
        <v>1936.3312351792665</v>
      </c>
      <c r="D497" s="189">
        <f>E337</f>
        <v>12</v>
      </c>
      <c r="E497" s="188">
        <f>INPUT!M3</f>
        <v>120</v>
      </c>
      <c r="F497" s="188">
        <f>INPUT!U3</f>
        <v>2400</v>
      </c>
      <c r="G497" s="188">
        <f>INPUT!N3</f>
        <v>2800</v>
      </c>
      <c r="H497" s="175">
        <f>(F497+C497-2*E497)*(G497+B497/2+D497/2)/2</f>
        <v>5769682.5447499966</v>
      </c>
      <c r="I497" s="198">
        <f>INPUT!AW3</f>
        <v>-15.450687251974125</v>
      </c>
      <c r="J497" s="198">
        <f>INPUT!AX3</f>
        <v>0.0077810315162377564</v>
      </c>
      <c r="K497" s="198">
        <f>INPUT!AY3</f>
        <v>-33.358852623308422</v>
      </c>
      <c r="L497" s="174">
        <f>1.25*(I497+J497+K497)/2/H497/IF(B417="Positive",B497,D497)*10^6</f>
        <v>-0.44053693654699411</v>
      </c>
      <c r="M497" s="194">
        <f>SQRT(1-(L497/INPUT!AO3)^2)</f>
        <v>0.99999932800257041</v>
      </c>
    </row>
    <row r="498">
      <c r="A498" s="187">
        <f>A418</f>
        <v>101</v>
      </c>
      <c r="B498" s="189">
        <f>D338</f>
        <v>22</v>
      </c>
      <c r="C498" s="197">
        <f>I338</f>
        <v>1936.3312351792665</v>
      </c>
      <c r="D498" s="189">
        <f>E338</f>
        <v>12</v>
      </c>
      <c r="E498" s="188">
        <f>INPUT!M4</f>
        <v>120</v>
      </c>
      <c r="F498" s="188">
        <f>INPUT!U4</f>
        <v>2400</v>
      </c>
      <c r="G498" s="188">
        <f>INPUT!N4</f>
        <v>2800</v>
      </c>
      <c r="H498" s="175">
        <f>(F498+C498-2*E498)*(G498+B498/2+D498/2)/2</f>
        <v>5769682.5447499966</v>
      </c>
      <c r="I498" s="198">
        <f>INPUT!AW4</f>
        <v>-15.450687251974125</v>
      </c>
      <c r="J498" s="198">
        <f>INPUT!AX4</f>
        <v>0.0077810315162377564</v>
      </c>
      <c r="K498" s="198">
        <f>INPUT!AY4</f>
        <v>-33.358852623308422</v>
      </c>
      <c r="L498" s="174">
        <f>1.25*(I498+J498+K498)/2/H498/IF(B418="Positive",B498,D498)*10^6</f>
        <v>-0.44053693654699411</v>
      </c>
      <c r="M498" s="194">
        <f>SQRT(1-(L498/INPUT!AO4)^2)</f>
        <v>0.99999932800257041</v>
      </c>
    </row>
    <row r="499">
      <c r="A499" s="187">
        <f>A419</f>
        <v>101</v>
      </c>
      <c r="B499" s="189">
        <f>D339</f>
        <v>22</v>
      </c>
      <c r="C499" s="197">
        <f>I339</f>
        <v>1936.3312351792665</v>
      </c>
      <c r="D499" s="189">
        <f>E339</f>
        <v>12</v>
      </c>
      <c r="E499" s="188">
        <f>INPUT!M5</f>
        <v>120</v>
      </c>
      <c r="F499" s="188">
        <f>INPUT!U5</f>
        <v>2400</v>
      </c>
      <c r="G499" s="188">
        <f>INPUT!N5</f>
        <v>2800</v>
      </c>
      <c r="H499" s="175">
        <f>(F499+C499-2*E499)*(G499+B499/2+D499/2)/2</f>
        <v>5769682.5447499966</v>
      </c>
      <c r="I499" s="198">
        <f>INPUT!AW5</f>
        <v>-15.450687251974125</v>
      </c>
      <c r="J499" s="198">
        <f>INPUT!AX5</f>
        <v>0.0077810315162377564</v>
      </c>
      <c r="K499" s="198">
        <f>INPUT!AY5</f>
        <v>-33.358852623308422</v>
      </c>
      <c r="L499" s="174">
        <f>1.25*(I499+J499+K499)/2/H499/IF(B419="Positive",B499,D499)*10^6</f>
        <v>-0.44053693654699411</v>
      </c>
      <c r="M499" s="194">
        <f>SQRT(1-(L499/INPUT!AO5)^2)</f>
        <v>0.99999932800257041</v>
      </c>
    </row>
    <row r="500">
      <c r="A500" s="187">
        <f>A420</f>
        <v>101</v>
      </c>
      <c r="B500" s="189">
        <f>D340</f>
        <v>22</v>
      </c>
      <c r="C500" s="197">
        <f>I340</f>
        <v>1936.3312351792665</v>
      </c>
      <c r="D500" s="189">
        <f>E340</f>
        <v>12</v>
      </c>
      <c r="E500" s="188">
        <f>INPUT!M6</f>
        <v>120</v>
      </c>
      <c r="F500" s="188">
        <f>INPUT!U6</f>
        <v>2400</v>
      </c>
      <c r="G500" s="188">
        <f>INPUT!N6</f>
        <v>2800</v>
      </c>
      <c r="H500" s="175">
        <f>(F500+C500-2*E500)*(G500+B500/2+D500/2)/2</f>
        <v>5769682.5447499966</v>
      </c>
      <c r="I500" s="198">
        <f>INPUT!AW6</f>
        <v>-15.450687251974125</v>
      </c>
      <c r="J500" s="198">
        <f>INPUT!AX6</f>
        <v>0.0077810315162377564</v>
      </c>
      <c r="K500" s="198">
        <f>INPUT!AY6</f>
        <v>-33.358852623308422</v>
      </c>
      <c r="L500" s="174">
        <f>1.25*(I500+J500+K500)/2/H500/IF(B420="Positive",B500,D500)*10^6</f>
        <v>-0.44053693654699411</v>
      </c>
      <c r="M500" s="194">
        <f>SQRT(1-(L500/INPUT!AO6)^2)</f>
        <v>0.99999932800257041</v>
      </c>
    </row>
    <row r="501">
      <c r="A501" s="187">
        <f>A421</f>
        <v>101</v>
      </c>
      <c r="B501" s="189">
        <f>D341</f>
        <v>22</v>
      </c>
      <c r="C501" s="197">
        <f>I341</f>
        <v>1936.3312351792665</v>
      </c>
      <c r="D501" s="189">
        <f>E341</f>
        <v>12</v>
      </c>
      <c r="E501" s="188">
        <f>INPUT!M7</f>
        <v>120</v>
      </c>
      <c r="F501" s="188">
        <f>INPUT!U7</f>
        <v>2400</v>
      </c>
      <c r="G501" s="188">
        <f>INPUT!N7</f>
        <v>2800</v>
      </c>
      <c r="H501" s="175">
        <f>(F501+C501-2*E501)*(G501+B501/2+D501/2)/2</f>
        <v>5769682.5447499966</v>
      </c>
      <c r="I501" s="198">
        <f>INPUT!AW7</f>
        <v>-15.450687251974125</v>
      </c>
      <c r="J501" s="198">
        <f>INPUT!AX7</f>
        <v>0.0077810315162377564</v>
      </c>
      <c r="K501" s="198">
        <f>INPUT!AY7</f>
        <v>-33.358852623308422</v>
      </c>
      <c r="L501" s="174">
        <f>1.25*(I501+J501+K501)/2/H501/IF(B421="Positive",B501,D501)*10^6</f>
        <v>-0.44053693654699411</v>
      </c>
      <c r="M501" s="194">
        <f>SQRT(1-(L501/INPUT!AO7)^2)</f>
        <v>0.99999932800257041</v>
      </c>
    </row>
    <row r="502">
      <c r="A502" s="187">
        <f>A422</f>
        <v>101</v>
      </c>
      <c r="B502" s="189">
        <f>D342</f>
        <v>22</v>
      </c>
      <c r="C502" s="197">
        <f>I342</f>
        <v>1936.3312351792665</v>
      </c>
      <c r="D502" s="189">
        <f>E342</f>
        <v>12</v>
      </c>
      <c r="E502" s="188">
        <f>INPUT!M8</f>
        <v>120</v>
      </c>
      <c r="F502" s="188">
        <f>INPUT!U8</f>
        <v>2400</v>
      </c>
      <c r="G502" s="188">
        <f>INPUT!N8</f>
        <v>2800</v>
      </c>
      <c r="H502" s="175">
        <f>(F502+C502-2*E502)*(G502+B502/2+D502/2)/2</f>
        <v>5769682.5447499966</v>
      </c>
      <c r="I502" s="198">
        <f>INPUT!AW8</f>
        <v>-15.450687251974125</v>
      </c>
      <c r="J502" s="198">
        <f>INPUT!AX8</f>
        <v>0.0077810315162377564</v>
      </c>
      <c r="K502" s="198">
        <f>INPUT!AY8</f>
        <v>-33.358852623308422</v>
      </c>
      <c r="L502" s="174">
        <f>1.25*(I502+J502+K502)/2/H502/IF(B422="Positive",B502,D502)*10^6</f>
        <v>-0.44053693654699411</v>
      </c>
      <c r="M502" s="194">
        <f>SQRT(1-(L502/INPUT!AO8)^2)</f>
        <v>0.99999932800257041</v>
      </c>
    </row>
    <row r="503">
      <c r="A503" s="187">
        <f>A423</f>
        <v>101</v>
      </c>
      <c r="B503" s="189">
        <f>D343</f>
        <v>22</v>
      </c>
      <c r="C503" s="197">
        <f>I343</f>
        <v>1936.3312351792665</v>
      </c>
      <c r="D503" s="189">
        <f>E343</f>
        <v>12</v>
      </c>
      <c r="E503" s="188">
        <f>INPUT!M9</f>
        <v>120</v>
      </c>
      <c r="F503" s="188">
        <f>INPUT!U9</f>
        <v>2400</v>
      </c>
      <c r="G503" s="188">
        <f>INPUT!N9</f>
        <v>2800</v>
      </c>
      <c r="H503" s="175">
        <f>(F503+C503-2*E503)*(G503+B503/2+D503/2)/2</f>
        <v>5769682.5447499966</v>
      </c>
      <c r="I503" s="198">
        <f>INPUT!AW9</f>
        <v>-15.450687251974125</v>
      </c>
      <c r="J503" s="198">
        <f>INPUT!AX9</f>
        <v>0.0077810315162377564</v>
      </c>
      <c r="K503" s="198">
        <f>INPUT!AY9</f>
        <v>-33.358852623308422</v>
      </c>
      <c r="L503" s="174">
        <f>1.25*(I503+J503+K503)/2/H503/IF(B423="Positive",B503,D503)*10^6</f>
        <v>-0.44053693654699411</v>
      </c>
      <c r="M503" s="194">
        <f>SQRT(1-(L503/INPUT!AO9)^2)</f>
        <v>0.99999932800257041</v>
      </c>
    </row>
    <row r="504">
      <c r="A504" s="187">
        <f>A424</f>
        <v>101</v>
      </c>
      <c r="B504" s="189">
        <f>D344</f>
        <v>22</v>
      </c>
      <c r="C504" s="197">
        <f>I344</f>
        <v>1936.3312351792665</v>
      </c>
      <c r="D504" s="189">
        <f>E344</f>
        <v>12</v>
      </c>
      <c r="E504" s="188">
        <f>INPUT!M10</f>
        <v>120</v>
      </c>
      <c r="F504" s="188">
        <f>INPUT!U10</f>
        <v>2400</v>
      </c>
      <c r="G504" s="188">
        <f>INPUT!N10</f>
        <v>2800</v>
      </c>
      <c r="H504" s="175">
        <f>(F504+C504-2*E504)*(G504+B504/2+D504/2)/2</f>
        <v>5769682.5447499966</v>
      </c>
      <c r="I504" s="198">
        <f>INPUT!AW10</f>
        <v>-15.450687251974125</v>
      </c>
      <c r="J504" s="198">
        <f>INPUT!AX10</f>
        <v>0.0077810315162377564</v>
      </c>
      <c r="K504" s="198">
        <f>INPUT!AY10</f>
        <v>-33.358852623308422</v>
      </c>
      <c r="L504" s="174">
        <f>1.25*(I504+J504+K504)/2/H504/IF(B424="Positive",B504,D504)*10^6</f>
        <v>-0.44053693654699411</v>
      </c>
      <c r="M504" s="194">
        <f>SQRT(1-(L504/INPUT!AO10)^2)</f>
        <v>0.99999932800257041</v>
      </c>
    </row>
    <row r="505">
      <c r="A505" s="187">
        <f>A425</f>
        <v>101</v>
      </c>
      <c r="B505" s="189">
        <f>D345</f>
        <v>22</v>
      </c>
      <c r="C505" s="197">
        <f>I345</f>
        <v>1936.3312351792665</v>
      </c>
      <c r="D505" s="189">
        <f>E345</f>
        <v>12</v>
      </c>
      <c r="E505" s="188">
        <f>INPUT!M11</f>
        <v>120</v>
      </c>
      <c r="F505" s="188">
        <f>INPUT!U11</f>
        <v>2400</v>
      </c>
      <c r="G505" s="188">
        <f>INPUT!N11</f>
        <v>2800</v>
      </c>
      <c r="H505" s="175">
        <f>(F505+C505-2*E505)*(G505+B505/2+D505/2)/2</f>
        <v>5769682.5447499966</v>
      </c>
      <c r="I505" s="198">
        <f>INPUT!AW11</f>
        <v>-15.450687251974125</v>
      </c>
      <c r="J505" s="198">
        <f>INPUT!AX11</f>
        <v>0.0077810315162377564</v>
      </c>
      <c r="K505" s="198">
        <f>INPUT!AY11</f>
        <v>-33.358852623308422</v>
      </c>
      <c r="L505" s="174">
        <f>1.25*(I505+J505+K505)/2/H505/IF(B425="Positive",B505,D505)*10^6</f>
        <v>-0.44053693654699411</v>
      </c>
      <c r="M505" s="194">
        <f>SQRT(1-(L505/INPUT!AO11)^2)</f>
        <v>0.99999932800257041</v>
      </c>
    </row>
    <row r="506">
      <c r="A506" s="187">
        <f>A426</f>
        <v>101</v>
      </c>
      <c r="B506" s="189">
        <f>D346</f>
        <v>22</v>
      </c>
      <c r="C506" s="197">
        <f>I346</f>
        <v>1936.3312351792665</v>
      </c>
      <c r="D506" s="189">
        <f>E346</f>
        <v>12</v>
      </c>
      <c r="E506" s="188">
        <f>INPUT!M12</f>
        <v>120</v>
      </c>
      <c r="F506" s="188">
        <f>INPUT!U12</f>
        <v>2400</v>
      </c>
      <c r="G506" s="188">
        <f>INPUT!N12</f>
        <v>2800</v>
      </c>
      <c r="H506" s="175">
        <f>(F506+C506-2*E506)*(G506+B506/2+D506/2)/2</f>
        <v>5769682.5447499966</v>
      </c>
      <c r="I506" s="198">
        <f>INPUT!AW12</f>
        <v>-15.450687251974125</v>
      </c>
      <c r="J506" s="198">
        <f>INPUT!AX12</f>
        <v>0.0077810315162377564</v>
      </c>
      <c r="K506" s="198">
        <f>INPUT!AY12</f>
        <v>-33.358852623308422</v>
      </c>
      <c r="L506" s="174">
        <f>1.25*(I506+J506+K506)/2/H506/IF(B426="Positive",B506,D506)*10^6</f>
        <v>-0.44053693654699411</v>
      </c>
      <c r="M506" s="194">
        <f>SQRT(1-(L506/INPUT!AO12)^2)</f>
        <v>0.99999932800257041</v>
      </c>
    </row>
    <row r="507">
      <c r="A507" s="187">
        <f>A427</f>
        <v>101</v>
      </c>
      <c r="B507" s="189">
        <f>D347</f>
        <v>22</v>
      </c>
      <c r="C507" s="197">
        <f>I347</f>
        <v>1936.3312351792665</v>
      </c>
      <c r="D507" s="189">
        <f>E347</f>
        <v>12</v>
      </c>
      <c r="E507" s="188">
        <f>INPUT!M13</f>
        <v>120</v>
      </c>
      <c r="F507" s="188">
        <f>INPUT!U13</f>
        <v>2400</v>
      </c>
      <c r="G507" s="188">
        <f>INPUT!N13</f>
        <v>2800</v>
      </c>
      <c r="H507" s="175">
        <f>(F507+C507-2*E507)*(G507+B507/2+D507/2)/2</f>
        <v>5769682.5447499966</v>
      </c>
      <c r="I507" s="198">
        <f>INPUT!AW13</f>
        <v>-15.450687251974125</v>
      </c>
      <c r="J507" s="198">
        <f>INPUT!AX13</f>
        <v>0.0077810315162377564</v>
      </c>
      <c r="K507" s="198">
        <f>INPUT!AY13</f>
        <v>-33.358852623308422</v>
      </c>
      <c r="L507" s="174">
        <f>1.25*(I507+J507+K507)/2/H507/IF(B427="Positive",B507,D507)*10^6</f>
        <v>-0.44053693654699411</v>
      </c>
      <c r="M507" s="194">
        <f>SQRT(1-(L507/INPUT!AO13)^2)</f>
        <v>0.99999932800257041</v>
      </c>
    </row>
    <row r="508">
      <c r="A508" s="187">
        <f>A428</f>
        <v>101</v>
      </c>
      <c r="B508" s="189">
        <f>D348</f>
        <v>22</v>
      </c>
      <c r="C508" s="197">
        <f>I348</f>
        <v>1936.3312351792665</v>
      </c>
      <c r="D508" s="189">
        <f>E348</f>
        <v>12</v>
      </c>
      <c r="E508" s="188">
        <f>INPUT!M14</f>
        <v>120</v>
      </c>
      <c r="F508" s="188">
        <f>INPUT!U14</f>
        <v>2400</v>
      </c>
      <c r="G508" s="188">
        <f>INPUT!N14</f>
        <v>2800</v>
      </c>
      <c r="H508" s="175">
        <f>(F508+C508-2*E508)*(G508+B508/2+D508/2)/2</f>
        <v>5769682.5447499966</v>
      </c>
      <c r="I508" s="198">
        <f>INPUT!AW14</f>
        <v>-15.450687251974125</v>
      </c>
      <c r="J508" s="198">
        <f>INPUT!AX14</f>
        <v>0.0077810315162377564</v>
      </c>
      <c r="K508" s="198">
        <f>INPUT!AY14</f>
        <v>-33.358852623308422</v>
      </c>
      <c r="L508" s="174">
        <f>1.25*(I508+J508+K508)/2/H508/IF(B428="Positive",B508,D508)*10^6</f>
        <v>-0.44053693654699411</v>
      </c>
      <c r="M508" s="194">
        <f>SQRT(1-(L508/INPUT!AO14)^2)</f>
        <v>0.99999932800257041</v>
      </c>
    </row>
    <row r="509">
      <c r="A509" s="187">
        <f>A429</f>
        <v>101</v>
      </c>
      <c r="B509" s="189">
        <f>D349</f>
        <v>22</v>
      </c>
      <c r="C509" s="197">
        <f>I349</f>
        <v>1936.3312351792665</v>
      </c>
      <c r="D509" s="189">
        <f>E349</f>
        <v>12</v>
      </c>
      <c r="E509" s="188">
        <f>INPUT!M15</f>
        <v>120</v>
      </c>
      <c r="F509" s="188">
        <f>INPUT!U15</f>
        <v>2400</v>
      </c>
      <c r="G509" s="188">
        <f>INPUT!N15</f>
        <v>2800</v>
      </c>
      <c r="H509" s="175">
        <f>(F509+C509-2*E509)*(G509+B509/2+D509/2)/2</f>
        <v>5769682.5447499966</v>
      </c>
      <c r="I509" s="198">
        <f>INPUT!AW15</f>
        <v>-15.450687251974125</v>
      </c>
      <c r="J509" s="198">
        <f>INPUT!AX15</f>
        <v>0.0077810315162377564</v>
      </c>
      <c r="K509" s="198">
        <f>INPUT!AY15</f>
        <v>-33.358852623308422</v>
      </c>
      <c r="L509" s="174">
        <f>1.25*(I509+J509+K509)/2/H509/IF(B429="Positive",B509,D509)*10^6</f>
        <v>-0.44053693654699411</v>
      </c>
      <c r="M509" s="194">
        <f>SQRT(1-(L509/INPUT!AO15)^2)</f>
        <v>0.99999932800257041</v>
      </c>
    </row>
    <row r="510">
      <c r="A510" s="187">
        <f>A430</f>
        <v>101</v>
      </c>
      <c r="B510" s="189">
        <f>D350</f>
        <v>22</v>
      </c>
      <c r="C510" s="197">
        <f>I350</f>
        <v>1936.3312351792665</v>
      </c>
      <c r="D510" s="189">
        <f>E350</f>
        <v>12</v>
      </c>
      <c r="E510" s="188">
        <f>INPUT!M16</f>
        <v>120</v>
      </c>
      <c r="F510" s="188">
        <f>INPUT!U16</f>
        <v>2400</v>
      </c>
      <c r="G510" s="188">
        <f>INPUT!N16</f>
        <v>2800</v>
      </c>
      <c r="H510" s="175">
        <f>(F510+C510-2*E510)*(G510+B510/2+D510/2)/2</f>
        <v>5769682.5447499966</v>
      </c>
      <c r="I510" s="198">
        <f>INPUT!AW16</f>
        <v>-15.450687251974125</v>
      </c>
      <c r="J510" s="198">
        <f>INPUT!AX16</f>
        <v>0.0077810315162377564</v>
      </c>
      <c r="K510" s="198">
        <f>INPUT!AY16</f>
        <v>-33.358852623308422</v>
      </c>
      <c r="L510" s="174">
        <f>1.25*(I510+J510+K510)/2/H510/IF(B430="Positive",B510,D510)*10^6</f>
        <v>-0.44053693654699411</v>
      </c>
      <c r="M510" s="194">
        <f>SQRT(1-(L510/INPUT!AO16)^2)</f>
        <v>0.99999932800257041</v>
      </c>
    </row>
    <row r="511">
      <c r="A511" s="187">
        <f>A431</f>
        <v>101</v>
      </c>
      <c r="B511" s="189">
        <f>D351</f>
        <v>22</v>
      </c>
      <c r="C511" s="197">
        <f>I351</f>
        <v>1936.3312351792665</v>
      </c>
      <c r="D511" s="189">
        <f>E351</f>
        <v>12</v>
      </c>
      <c r="E511" s="188">
        <f>INPUT!M17</f>
        <v>120</v>
      </c>
      <c r="F511" s="188">
        <f>INPUT!U17</f>
        <v>2400</v>
      </c>
      <c r="G511" s="188">
        <f>INPUT!N17</f>
        <v>2800</v>
      </c>
      <c r="H511" s="175">
        <f>(F511+C511-2*E511)*(G511+B511/2+D511/2)/2</f>
        <v>5769682.5447499966</v>
      </c>
      <c r="I511" s="198">
        <f>INPUT!AW17</f>
        <v>-15.450687251974125</v>
      </c>
      <c r="J511" s="198">
        <f>INPUT!AX17</f>
        <v>0.0077810315162377564</v>
      </c>
      <c r="K511" s="198">
        <f>INPUT!AY17</f>
        <v>-33.358852623308422</v>
      </c>
      <c r="L511" s="174">
        <f>1.25*(I511+J511+K511)/2/H511/IF(B431="Positive",B511,D511)*10^6</f>
        <v>-0.44053693654699411</v>
      </c>
      <c r="M511" s="194">
        <f>SQRT(1-(L511/INPUT!AO17)^2)</f>
        <v>0.99999932800257041</v>
      </c>
    </row>
    <row r="512">
      <c r="A512" s="187">
        <f>A432</f>
        <v>101</v>
      </c>
      <c r="B512" s="189">
        <f>D352</f>
        <v>22</v>
      </c>
      <c r="C512" s="197">
        <f>I352</f>
        <v>1936.3312351792665</v>
      </c>
      <c r="D512" s="189">
        <f>E352</f>
        <v>12</v>
      </c>
      <c r="E512" s="188">
        <f>INPUT!M18</f>
        <v>120</v>
      </c>
      <c r="F512" s="188">
        <f>INPUT!U18</f>
        <v>2400</v>
      </c>
      <c r="G512" s="188">
        <f>INPUT!N18</f>
        <v>2800</v>
      </c>
      <c r="H512" s="175">
        <f>(F512+C512-2*E512)*(G512+B512/2+D512/2)/2</f>
        <v>5769682.5447499966</v>
      </c>
      <c r="I512" s="198">
        <f>INPUT!AW18</f>
        <v>-15.450687251974125</v>
      </c>
      <c r="J512" s="198">
        <f>INPUT!AX18</f>
        <v>0.0077810315162377564</v>
      </c>
      <c r="K512" s="198">
        <f>INPUT!AY18</f>
        <v>-33.358852623308422</v>
      </c>
      <c r="L512" s="174">
        <f>1.25*(I512+J512+K512)/2/H512/IF(B432="Positive",B512,D512)*10^6</f>
        <v>-0.44053693654699411</v>
      </c>
      <c r="M512" s="194">
        <f>SQRT(1-(L512/INPUT!AO18)^2)</f>
        <v>0.99999932800257041</v>
      </c>
    </row>
    <row r="513">
      <c r="A513" s="187">
        <f>A433</f>
        <v>101</v>
      </c>
      <c r="B513" s="189">
        <f>D353</f>
        <v>22</v>
      </c>
      <c r="C513" s="197">
        <f>I353</f>
        <v>1936.3312351792665</v>
      </c>
      <c r="D513" s="189">
        <f>E353</f>
        <v>12</v>
      </c>
      <c r="E513" s="188">
        <f>INPUT!M19</f>
        <v>120</v>
      </c>
      <c r="F513" s="188">
        <f>INPUT!U19</f>
        <v>2400</v>
      </c>
      <c r="G513" s="188">
        <f>INPUT!N19</f>
        <v>2800</v>
      </c>
      <c r="H513" s="175">
        <f>(F513+C513-2*E513)*(G513+B513/2+D513/2)/2</f>
        <v>5769682.5447499966</v>
      </c>
      <c r="I513" s="198">
        <f>INPUT!AW19</f>
        <v>-15.450687251974125</v>
      </c>
      <c r="J513" s="198">
        <f>INPUT!AX19</f>
        <v>0.0077810315162377564</v>
      </c>
      <c r="K513" s="198">
        <f>INPUT!AY19</f>
        <v>-33.358852623308422</v>
      </c>
      <c r="L513" s="174">
        <f>1.25*(I513+J513+K513)/2/H513/IF(B433="Positive",B513,D513)*10^6</f>
        <v>-0.44053693654699411</v>
      </c>
      <c r="M513" s="194">
        <f>SQRT(1-(L513/INPUT!AO19)^2)</f>
        <v>0.99999932800257041</v>
      </c>
    </row>
    <row r="514">
      <c r="A514" s="187">
        <f>A434</f>
        <v>101</v>
      </c>
      <c r="B514" s="189">
        <f>D354</f>
        <v>22</v>
      </c>
      <c r="C514" s="197">
        <f>I354</f>
        <v>1936.3312351792665</v>
      </c>
      <c r="D514" s="189">
        <f>E354</f>
        <v>12</v>
      </c>
      <c r="E514" s="188">
        <f>INPUT!M20</f>
        <v>120</v>
      </c>
      <c r="F514" s="188">
        <f>INPUT!U20</f>
        <v>2400</v>
      </c>
      <c r="G514" s="188">
        <f>INPUT!N20</f>
        <v>2800</v>
      </c>
      <c r="H514" s="175">
        <f>(F514+C514-2*E514)*(G514+B514/2+D514/2)/2</f>
        <v>5769682.5447499966</v>
      </c>
      <c r="I514" s="198">
        <f>INPUT!AW20</f>
        <v>-15.450687251974125</v>
      </c>
      <c r="J514" s="198">
        <f>INPUT!AX20</f>
        <v>0.0077810315162377564</v>
      </c>
      <c r="K514" s="198">
        <f>INPUT!AY20</f>
        <v>-33.358852623308422</v>
      </c>
      <c r="L514" s="174">
        <f>1.25*(I514+J514+K514)/2/H514/IF(B434="Positive",B514,D514)*10^6</f>
        <v>-0.44053693654699411</v>
      </c>
      <c r="M514" s="194">
        <f>SQRT(1-(L514/INPUT!AO20)^2)</f>
        <v>0.99999932800257041</v>
      </c>
    </row>
    <row r="515">
      <c r="A515" s="187">
        <f>A435</f>
        <v>101</v>
      </c>
      <c r="B515" s="189">
        <f>D355</f>
        <v>22</v>
      </c>
      <c r="C515" s="197">
        <f>I355</f>
        <v>1936.3312351792665</v>
      </c>
      <c r="D515" s="189">
        <f>E355</f>
        <v>12</v>
      </c>
      <c r="E515" s="188">
        <f>INPUT!M21</f>
        <v>120</v>
      </c>
      <c r="F515" s="188">
        <f>INPUT!U21</f>
        <v>2400</v>
      </c>
      <c r="G515" s="188">
        <f>INPUT!N21</f>
        <v>2800</v>
      </c>
      <c r="H515" s="175">
        <f>(F515+C515-2*E515)*(G515+B515/2+D515/2)/2</f>
        <v>5769682.5447499966</v>
      </c>
      <c r="I515" s="198">
        <f>INPUT!AW21</f>
        <v>-15.450687251974125</v>
      </c>
      <c r="J515" s="198">
        <f>INPUT!AX21</f>
        <v>0.0077810315162377564</v>
      </c>
      <c r="K515" s="198">
        <f>INPUT!AY21</f>
        <v>-33.358852623308422</v>
      </c>
      <c r="L515" s="174">
        <f>1.25*(I515+J515+K515)/2/H515/IF(B435="Positive",B515,D515)*10^6</f>
        <v>-0.44053693654699411</v>
      </c>
      <c r="M515" s="194">
        <f>SQRT(1-(L515/INPUT!AO21)^2)</f>
        <v>0.99999932800257041</v>
      </c>
    </row>
    <row r="516">
      <c r="A516" s="187">
        <f>A436</f>
        <v>101</v>
      </c>
      <c r="B516" s="189">
        <f>D356</f>
        <v>22</v>
      </c>
      <c r="C516" s="197">
        <f>I356</f>
        <v>1936.3312351792665</v>
      </c>
      <c r="D516" s="189">
        <f>E356</f>
        <v>12</v>
      </c>
      <c r="E516" s="188">
        <f>INPUT!M22</f>
        <v>120</v>
      </c>
      <c r="F516" s="188">
        <f>INPUT!U22</f>
        <v>2400</v>
      </c>
      <c r="G516" s="188">
        <f>INPUT!N22</f>
        <v>2800</v>
      </c>
      <c r="H516" s="175">
        <f>(F516+C516-2*E516)*(G516+B516/2+D516/2)/2</f>
        <v>5769682.5447499966</v>
      </c>
      <c r="I516" s="198">
        <f>INPUT!AW22</f>
        <v>-15.450687251974125</v>
      </c>
      <c r="J516" s="198">
        <f>INPUT!AX22</f>
        <v>0.0077810315162377564</v>
      </c>
      <c r="K516" s="198">
        <f>INPUT!AY22</f>
        <v>-33.358852623308422</v>
      </c>
      <c r="L516" s="174">
        <f>1.25*(I516+J516+K516)/2/H516/IF(B436="Positive",B516,D516)*10^6</f>
        <v>-0.44053693654699411</v>
      </c>
      <c r="M516" s="194">
        <f>SQRT(1-(L516/INPUT!AO22)^2)</f>
        <v>0.99999932800257041</v>
      </c>
    </row>
    <row r="517">
      <c r="A517" s="187">
        <f>A437</f>
        <v>101</v>
      </c>
      <c r="B517" s="189">
        <f>D357</f>
        <v>22</v>
      </c>
      <c r="C517" s="197">
        <f>I357</f>
        <v>1936.3312351792665</v>
      </c>
      <c r="D517" s="189">
        <f>E357</f>
        <v>12</v>
      </c>
      <c r="E517" s="188">
        <f>INPUT!M23</f>
        <v>120</v>
      </c>
      <c r="F517" s="188">
        <f>INPUT!U23</f>
        <v>2400</v>
      </c>
      <c r="G517" s="188">
        <f>INPUT!N23</f>
        <v>2800</v>
      </c>
      <c r="H517" s="175">
        <f>(F517+C517-2*E517)*(G517+B517/2+D517/2)/2</f>
        <v>5769682.5447499966</v>
      </c>
      <c r="I517" s="198">
        <f>INPUT!AW23</f>
        <v>-15.450687251974125</v>
      </c>
      <c r="J517" s="198">
        <f>INPUT!AX23</f>
        <v>0.0077810315162377564</v>
      </c>
      <c r="K517" s="198">
        <f>INPUT!AY23</f>
        <v>-33.358852623308422</v>
      </c>
      <c r="L517" s="174">
        <f>1.25*(I517+J517+K517)/2/H517/IF(B437="Positive",B517,D517)*10^6</f>
        <v>-0.44053693654699411</v>
      </c>
      <c r="M517" s="194">
        <f>SQRT(1-(L517/INPUT!AO23)^2)</f>
        <v>0.99999932800257041</v>
      </c>
    </row>
    <row r="518">
      <c r="A518" s="187">
        <f>A438</f>
        <v>101</v>
      </c>
      <c r="B518" s="189">
        <f>D358</f>
        <v>22</v>
      </c>
      <c r="C518" s="197">
        <f>I358</f>
        <v>1936.3312351792665</v>
      </c>
      <c r="D518" s="189">
        <f>E358</f>
        <v>12</v>
      </c>
      <c r="E518" s="188">
        <f>INPUT!M24</f>
        <v>120</v>
      </c>
      <c r="F518" s="188">
        <f>INPUT!U24</f>
        <v>2400</v>
      </c>
      <c r="G518" s="188">
        <f>INPUT!N24</f>
        <v>2800</v>
      </c>
      <c r="H518" s="175">
        <f>(F518+C518-2*E518)*(G518+B518/2+D518/2)/2</f>
        <v>5769682.5447499966</v>
      </c>
      <c r="I518" s="198">
        <f>INPUT!AW24</f>
        <v>-15.450687251974125</v>
      </c>
      <c r="J518" s="198">
        <f>INPUT!AX24</f>
        <v>0.0077810315162377564</v>
      </c>
      <c r="K518" s="198">
        <f>INPUT!AY24</f>
        <v>-33.358852623308422</v>
      </c>
      <c r="L518" s="174">
        <f>1.25*(I518+J518+K518)/2/H518/IF(B438="Positive",B518,D518)*10^6</f>
        <v>-0.44053693654699411</v>
      </c>
      <c r="M518" s="194">
        <f>SQRT(1-(L518/INPUT!AO24)^2)</f>
        <v>0.99999932800257041</v>
      </c>
    </row>
    <row r="519">
      <c r="A519" s="187">
        <f>A439</f>
        <v>101</v>
      </c>
      <c r="B519" s="189">
        <f>D359</f>
        <v>22</v>
      </c>
      <c r="C519" s="197">
        <f>I359</f>
        <v>1936.3312351792665</v>
      </c>
      <c r="D519" s="189">
        <f>E359</f>
        <v>12</v>
      </c>
      <c r="E519" s="188">
        <f>INPUT!M25</f>
        <v>120</v>
      </c>
      <c r="F519" s="188">
        <f>INPUT!U25</f>
        <v>2400</v>
      </c>
      <c r="G519" s="188">
        <f>INPUT!N25</f>
        <v>2800</v>
      </c>
      <c r="H519" s="175">
        <f>(F519+C519-2*E519)*(G519+B519/2+D519/2)/2</f>
        <v>5769682.5447499966</v>
      </c>
      <c r="I519" s="198">
        <f>INPUT!AW25</f>
        <v>-15.450687251974125</v>
      </c>
      <c r="J519" s="198">
        <f>INPUT!AX25</f>
        <v>0.0077810315162377564</v>
      </c>
      <c r="K519" s="198">
        <f>INPUT!AY25</f>
        <v>-33.358852623308422</v>
      </c>
      <c r="L519" s="174">
        <f>1.25*(I519+J519+K519)/2/H519/IF(B439="Positive",B519,D519)*10^6</f>
        <v>-0.44053693654699411</v>
      </c>
      <c r="M519" s="194">
        <f>SQRT(1-(L519/INPUT!AO25)^2)</f>
        <v>0.99999932800257041</v>
      </c>
    </row>
    <row r="520">
      <c r="A520" s="187">
        <f>A440</f>
        <v>101</v>
      </c>
      <c r="B520" s="189">
        <f>D360</f>
        <v>22</v>
      </c>
      <c r="C520" s="197">
        <f>I360</f>
        <v>1936.3312351792665</v>
      </c>
      <c r="D520" s="189">
        <f>E360</f>
        <v>12</v>
      </c>
      <c r="E520" s="188">
        <f>INPUT!M26</f>
        <v>120</v>
      </c>
      <c r="F520" s="188">
        <f>INPUT!U26</f>
        <v>2400</v>
      </c>
      <c r="G520" s="188">
        <f>INPUT!N26</f>
        <v>2800</v>
      </c>
      <c r="H520" s="175">
        <f>(F520+C520-2*E520)*(G520+B520/2+D520/2)/2</f>
        <v>5769682.5447499966</v>
      </c>
      <c r="I520" s="198">
        <f>INPUT!AW26</f>
        <v>-15.450687251974125</v>
      </c>
      <c r="J520" s="198">
        <f>INPUT!AX26</f>
        <v>0.0077810315162377564</v>
      </c>
      <c r="K520" s="198">
        <f>INPUT!AY26</f>
        <v>-33.358852623308422</v>
      </c>
      <c r="L520" s="174">
        <f>1.25*(I520+J520+K520)/2/H520/IF(B440="Positive",B520,D520)*10^6</f>
        <v>-0.44053693654699411</v>
      </c>
      <c r="M520" s="194">
        <f>SQRT(1-(L520/INPUT!AO26)^2)</f>
        <v>0.99999932800257041</v>
      </c>
    </row>
    <row r="521">
      <c r="A521" s="187">
        <f>A441</f>
        <v>101</v>
      </c>
      <c r="B521" s="189">
        <f>D361</f>
        <v>22</v>
      </c>
      <c r="C521" s="197">
        <f>I361</f>
        <v>1936.3312351792665</v>
      </c>
      <c r="D521" s="189">
        <f>E361</f>
        <v>12</v>
      </c>
      <c r="E521" s="188">
        <f>INPUT!M27</f>
        <v>120</v>
      </c>
      <c r="F521" s="188">
        <f>INPUT!U27</f>
        <v>2400</v>
      </c>
      <c r="G521" s="188">
        <f>INPUT!N27</f>
        <v>2800</v>
      </c>
      <c r="H521" s="175">
        <f>(F521+C521-2*E521)*(G521+B521/2+D521/2)/2</f>
        <v>5769682.5447499966</v>
      </c>
      <c r="I521" s="198">
        <f>INPUT!AW27</f>
        <v>-15.450687251974125</v>
      </c>
      <c r="J521" s="198">
        <f>INPUT!AX27</f>
        <v>0.0077810315162377564</v>
      </c>
      <c r="K521" s="198">
        <f>INPUT!AY27</f>
        <v>-33.358852623308422</v>
      </c>
      <c r="L521" s="174">
        <f>1.25*(I521+J521+K521)/2/H521/IF(B441="Positive",B521,D521)*10^6</f>
        <v>-0.44053693654699411</v>
      </c>
      <c r="M521" s="194">
        <f>SQRT(1-(L521/INPUT!AO27)^2)</f>
        <v>0.99999932800257041</v>
      </c>
    </row>
    <row r="522">
      <c r="A522" s="187">
        <f>A442</f>
        <v>101</v>
      </c>
      <c r="B522" s="189">
        <f>D362</f>
        <v>22</v>
      </c>
      <c r="C522" s="197">
        <f>I362</f>
        <v>1936.3312351792665</v>
      </c>
      <c r="D522" s="189">
        <f>E362</f>
        <v>12</v>
      </c>
      <c r="E522" s="188">
        <f>INPUT!M28</f>
        <v>120</v>
      </c>
      <c r="F522" s="188">
        <f>INPUT!U28</f>
        <v>2400</v>
      </c>
      <c r="G522" s="188">
        <f>INPUT!N28</f>
        <v>2800</v>
      </c>
      <c r="H522" s="175">
        <f>(F522+C522-2*E522)*(G522+B522/2+D522/2)/2</f>
        <v>5769682.5447499966</v>
      </c>
      <c r="I522" s="198">
        <f>INPUT!AW28</f>
        <v>-15.450687251974125</v>
      </c>
      <c r="J522" s="198">
        <f>INPUT!AX28</f>
        <v>0.0077810315162377564</v>
      </c>
      <c r="K522" s="198">
        <f>INPUT!AY28</f>
        <v>-33.358852623308422</v>
      </c>
      <c r="L522" s="174">
        <f>1.25*(I522+J522+K522)/2/H522/IF(B442="Positive",B522,D522)*10^6</f>
        <v>-0.44053693654699411</v>
      </c>
      <c r="M522" s="194">
        <f>SQRT(1-(L522/INPUT!AO28)^2)</f>
        <v>0.99999932800257041</v>
      </c>
    </row>
    <row r="523">
      <c r="A523" s="187">
        <f>A443</f>
        <v>101</v>
      </c>
      <c r="B523" s="189">
        <f>D363</f>
        <v>22</v>
      </c>
      <c r="C523" s="197">
        <f>I363</f>
        <v>1936.3312351792665</v>
      </c>
      <c r="D523" s="189">
        <f>E363</f>
        <v>12</v>
      </c>
      <c r="E523" s="188">
        <f>INPUT!M29</f>
        <v>120</v>
      </c>
      <c r="F523" s="188">
        <f>INPUT!U29</f>
        <v>2400</v>
      </c>
      <c r="G523" s="188">
        <f>INPUT!N29</f>
        <v>2800</v>
      </c>
      <c r="H523" s="175">
        <f>(F523+C523-2*E523)*(G523+B523/2+D523/2)/2</f>
        <v>5769682.5447499966</v>
      </c>
      <c r="I523" s="198">
        <f>INPUT!AW29</f>
        <v>-15.450687251974125</v>
      </c>
      <c r="J523" s="198">
        <f>INPUT!AX29</f>
        <v>0.0077810315162377564</v>
      </c>
      <c r="K523" s="198">
        <f>INPUT!AY29</f>
        <v>-33.358852623308422</v>
      </c>
      <c r="L523" s="174">
        <f>1.25*(I523+J523+K523)/2/H523/IF(B443="Positive",B523,D523)*10^6</f>
        <v>-0.44053693654699411</v>
      </c>
      <c r="M523" s="194">
        <f>SQRT(1-(L523/INPUT!AO29)^2)</f>
        <v>0.99999932800257041</v>
      </c>
    </row>
    <row r="524">
      <c r="A524" s="187">
        <f>A444</f>
        <v>101</v>
      </c>
      <c r="B524" s="189">
        <f>D364</f>
        <v>22</v>
      </c>
      <c r="C524" s="197">
        <f>I364</f>
        <v>1936.3312351792665</v>
      </c>
      <c r="D524" s="189">
        <f>E364</f>
        <v>12</v>
      </c>
      <c r="E524" s="188">
        <f>INPUT!M30</f>
        <v>120</v>
      </c>
      <c r="F524" s="188">
        <f>INPUT!U30</f>
        <v>2400</v>
      </c>
      <c r="G524" s="188">
        <f>INPUT!N30</f>
        <v>2800</v>
      </c>
      <c r="H524" s="175">
        <f>(F524+C524-2*E524)*(G524+B524/2+D524/2)/2</f>
        <v>5769682.5447499966</v>
      </c>
      <c r="I524" s="198">
        <f>INPUT!AW30</f>
        <v>-15.450687251974125</v>
      </c>
      <c r="J524" s="198">
        <f>INPUT!AX30</f>
        <v>0.0077810315162377564</v>
      </c>
      <c r="K524" s="198">
        <f>INPUT!AY30</f>
        <v>-33.358852623308422</v>
      </c>
      <c r="L524" s="174">
        <f>1.25*(I524+J524+K524)/2/H524/IF(B444="Positive",B524,D524)*10^6</f>
        <v>-0.44053693654699411</v>
      </c>
      <c r="M524" s="194">
        <f>SQRT(1-(L524/INPUT!AO30)^2)</f>
        <v>0.99999932800257041</v>
      </c>
    </row>
    <row r="525">
      <c r="A525" s="187">
        <f>A445</f>
        <v>101</v>
      </c>
      <c r="B525" s="189">
        <f>D365</f>
        <v>22</v>
      </c>
      <c r="C525" s="197">
        <f>I365</f>
        <v>1936.3312351792665</v>
      </c>
      <c r="D525" s="189">
        <f>E365</f>
        <v>12</v>
      </c>
      <c r="E525" s="188">
        <f>INPUT!M31</f>
        <v>120</v>
      </c>
      <c r="F525" s="188">
        <f>INPUT!U31</f>
        <v>2400</v>
      </c>
      <c r="G525" s="188">
        <f>INPUT!N31</f>
        <v>2800</v>
      </c>
      <c r="H525" s="175">
        <f>(F525+C525-2*E525)*(G525+B525/2+D525/2)/2</f>
        <v>5769682.5447499966</v>
      </c>
      <c r="I525" s="198">
        <f>INPUT!AW31</f>
        <v>-15.450687251974125</v>
      </c>
      <c r="J525" s="198">
        <f>INPUT!AX31</f>
        <v>0.0077810315162377564</v>
      </c>
      <c r="K525" s="198">
        <f>INPUT!AY31</f>
        <v>-33.358852623308422</v>
      </c>
      <c r="L525" s="174">
        <f>1.25*(I525+J525+K525)/2/H525/IF(B445="Positive",B525,D525)*10^6</f>
        <v>-0.44053693654699411</v>
      </c>
      <c r="M525" s="194">
        <f>SQRT(1-(L525/INPUT!AO31)^2)</f>
        <v>0.99999932800257041</v>
      </c>
    </row>
    <row r="526">
      <c r="A526" s="187">
        <f>A446</f>
        <v>101</v>
      </c>
      <c r="B526" s="189">
        <f>D366</f>
        <v>22</v>
      </c>
      <c r="C526" s="197">
        <f>I366</f>
        <v>1936.3312351792665</v>
      </c>
      <c r="D526" s="189">
        <f>E366</f>
        <v>12</v>
      </c>
      <c r="E526" s="188">
        <f>INPUT!M32</f>
        <v>120</v>
      </c>
      <c r="F526" s="188">
        <f>INPUT!U32</f>
        <v>2400</v>
      </c>
      <c r="G526" s="188">
        <f>INPUT!N32</f>
        <v>2800</v>
      </c>
      <c r="H526" s="175">
        <f>(F526+C526-2*E526)*(G526+B526/2+D526/2)/2</f>
        <v>5769682.5447499966</v>
      </c>
      <c r="I526" s="198">
        <f>INPUT!AW32</f>
        <v>-15.450687251974125</v>
      </c>
      <c r="J526" s="198">
        <f>INPUT!AX32</f>
        <v>0.0077810315162377564</v>
      </c>
      <c r="K526" s="198">
        <f>INPUT!AY32</f>
        <v>-33.358852623308422</v>
      </c>
      <c r="L526" s="174">
        <f>1.25*(I526+J526+K526)/2/H526/IF(B446="Positive",B526,D526)*10^6</f>
        <v>-0.44053693654699411</v>
      </c>
      <c r="M526" s="194">
        <f>SQRT(1-(L526/INPUT!AO32)^2)</f>
        <v>0.99999932800257041</v>
      </c>
    </row>
    <row r="527">
      <c r="A527" s="187">
        <f>A447</f>
        <v>101</v>
      </c>
      <c r="B527" s="189">
        <f>D367</f>
        <v>22</v>
      </c>
      <c r="C527" s="197">
        <f>I367</f>
        <v>1936.3312351792665</v>
      </c>
      <c r="D527" s="189">
        <f>E367</f>
        <v>12</v>
      </c>
      <c r="E527" s="188">
        <f>INPUT!M33</f>
        <v>120</v>
      </c>
      <c r="F527" s="188">
        <f>INPUT!U33</f>
        <v>2400</v>
      </c>
      <c r="G527" s="188">
        <f>INPUT!N33</f>
        <v>2800</v>
      </c>
      <c r="H527" s="175">
        <f>(F527+C527-2*E527)*(G527+B527/2+D527/2)/2</f>
        <v>5769682.5447499966</v>
      </c>
      <c r="I527" s="198">
        <f>INPUT!AW33</f>
        <v>-15.450687251974125</v>
      </c>
      <c r="J527" s="198">
        <f>INPUT!AX33</f>
        <v>0.0077810315162377564</v>
      </c>
      <c r="K527" s="198">
        <f>INPUT!AY33</f>
        <v>-33.358852623308422</v>
      </c>
      <c r="L527" s="174">
        <f>1.25*(I527+J527+K527)/2/H527/IF(B447="Positive",B527,D527)*10^6</f>
        <v>-0.44053693654699411</v>
      </c>
      <c r="M527" s="194">
        <f>SQRT(1-(L527/INPUT!AO33)^2)</f>
        <v>0.99999932800257041</v>
      </c>
    </row>
    <row r="528">
      <c r="A528" s="187">
        <f>A448</f>
        <v>101</v>
      </c>
      <c r="B528" s="189">
        <f>D368</f>
        <v>22</v>
      </c>
      <c r="C528" s="197">
        <f>I368</f>
        <v>1936.3312351792665</v>
      </c>
      <c r="D528" s="189">
        <f>E368</f>
        <v>12</v>
      </c>
      <c r="E528" s="188">
        <f>INPUT!M34</f>
        <v>120</v>
      </c>
      <c r="F528" s="188">
        <f>INPUT!U34</f>
        <v>2400</v>
      </c>
      <c r="G528" s="188">
        <f>INPUT!N34</f>
        <v>2800</v>
      </c>
      <c r="H528" s="175">
        <f>(F528+C528-2*E528)*(G528+B528/2+D528/2)/2</f>
        <v>5769682.5447499966</v>
      </c>
      <c r="I528" s="198">
        <f>INPUT!AW34</f>
        <v>-15.450687251974125</v>
      </c>
      <c r="J528" s="198">
        <f>INPUT!AX34</f>
        <v>0.0077810315162377564</v>
      </c>
      <c r="K528" s="198">
        <f>INPUT!AY34</f>
        <v>-33.358852623308422</v>
      </c>
      <c r="L528" s="174">
        <f>1.25*(I528+J528+K528)/2/H528/IF(B448="Positive",B528,D528)*10^6</f>
        <v>-0.44053693654699411</v>
      </c>
      <c r="M528" s="194">
        <f>SQRT(1-(L528/INPUT!AO34)^2)</f>
        <v>0.99999932800257041</v>
      </c>
    </row>
    <row r="529">
      <c r="A529" s="187">
        <f>A449</f>
        <v>101</v>
      </c>
      <c r="B529" s="189">
        <f>D369</f>
        <v>22</v>
      </c>
      <c r="C529" s="197">
        <f>I369</f>
        <v>1936.3312351792665</v>
      </c>
      <c r="D529" s="189">
        <f>E369</f>
        <v>12</v>
      </c>
      <c r="E529" s="188">
        <f>INPUT!M35</f>
        <v>120</v>
      </c>
      <c r="F529" s="188">
        <f>INPUT!U35</f>
        <v>2400</v>
      </c>
      <c r="G529" s="188">
        <f>INPUT!N35</f>
        <v>2800</v>
      </c>
      <c r="H529" s="175">
        <f>(F529+C529-2*E529)*(G529+B529/2+D529/2)/2</f>
        <v>5769682.5447499966</v>
      </c>
      <c r="I529" s="198">
        <f>INPUT!AW35</f>
        <v>-15.450687251974125</v>
      </c>
      <c r="J529" s="198">
        <f>INPUT!AX35</f>
        <v>0.0077810315162377564</v>
      </c>
      <c r="K529" s="198">
        <f>INPUT!AY35</f>
        <v>-33.358852623308422</v>
      </c>
      <c r="L529" s="174">
        <f>1.25*(I529+J529+K529)/2/H529/IF(B449="Positive",B529,D529)*10^6</f>
        <v>-0.44053693654699411</v>
      </c>
      <c r="M529" s="194">
        <f>SQRT(1-(L529/INPUT!AO35)^2)</f>
        <v>0.99999932800257041</v>
      </c>
    </row>
    <row r="530">
      <c r="A530" s="187">
        <f>A450</f>
        <v>101</v>
      </c>
      <c r="B530" s="189">
        <f>D370</f>
        <v>22</v>
      </c>
      <c r="C530" s="197">
        <f>I370</f>
        <v>1936.3312351792665</v>
      </c>
      <c r="D530" s="189">
        <f>E370</f>
        <v>12</v>
      </c>
      <c r="E530" s="188">
        <f>INPUT!M36</f>
        <v>120</v>
      </c>
      <c r="F530" s="188">
        <f>INPUT!U36</f>
        <v>2400</v>
      </c>
      <c r="G530" s="188">
        <f>INPUT!N36</f>
        <v>2800</v>
      </c>
      <c r="H530" s="175">
        <f>(F530+C530-2*E530)*(G530+B530/2+D530/2)/2</f>
        <v>5769682.5447499966</v>
      </c>
      <c r="I530" s="198">
        <f>INPUT!AW36</f>
        <v>-15.450687251974125</v>
      </c>
      <c r="J530" s="198">
        <f>INPUT!AX36</f>
        <v>0.0077810315162377564</v>
      </c>
      <c r="K530" s="198">
        <f>INPUT!AY36</f>
        <v>-33.358852623308422</v>
      </c>
      <c r="L530" s="174">
        <f>1.25*(I530+J530+K530)/2/H530/IF(B450="Positive",B530,D530)*10^6</f>
        <v>-0.44053693654699411</v>
      </c>
      <c r="M530" s="194">
        <f>SQRT(1-(L530/INPUT!AO36)^2)</f>
        <v>0.99999932800257041</v>
      </c>
    </row>
    <row r="531">
      <c r="A531" s="187">
        <f>A451</f>
        <v>101</v>
      </c>
      <c r="B531" s="189">
        <f>D371</f>
        <v>22</v>
      </c>
      <c r="C531" s="197">
        <f>I371</f>
        <v>1936.3312351792665</v>
      </c>
      <c r="D531" s="189">
        <f>E371</f>
        <v>12</v>
      </c>
      <c r="E531" s="188">
        <f>INPUT!M37</f>
        <v>120</v>
      </c>
      <c r="F531" s="188">
        <f>INPUT!U37</f>
        <v>2400</v>
      </c>
      <c r="G531" s="188">
        <f>INPUT!N37</f>
        <v>2800</v>
      </c>
      <c r="H531" s="175">
        <f>(F531+C531-2*E531)*(G531+B531/2+D531/2)/2</f>
        <v>5769682.5447499966</v>
      </c>
      <c r="I531" s="198">
        <f>INPUT!AW37</f>
        <v>-15.450687251974125</v>
      </c>
      <c r="J531" s="198">
        <f>INPUT!AX37</f>
        <v>0.0077810315162377564</v>
      </c>
      <c r="K531" s="198">
        <f>INPUT!AY37</f>
        <v>-33.358852623308422</v>
      </c>
      <c r="L531" s="174">
        <f>1.25*(I531+J531+K531)/2/H531/IF(B451="Positive",B531,D531)*10^6</f>
        <v>-0.44053693654699411</v>
      </c>
      <c r="M531" s="194">
        <f>SQRT(1-(L531/INPUT!AO37)^2)</f>
        <v>0.99999932800257041</v>
      </c>
    </row>
    <row r="532">
      <c r="A532" s="187">
        <f>A452</f>
        <v>101</v>
      </c>
      <c r="B532" s="189">
        <f>D372</f>
        <v>22</v>
      </c>
      <c r="C532" s="197">
        <f>I372</f>
        <v>1936.3312351792665</v>
      </c>
      <c r="D532" s="189">
        <f>E372</f>
        <v>12</v>
      </c>
      <c r="E532" s="188">
        <f>INPUT!M38</f>
        <v>120</v>
      </c>
      <c r="F532" s="188">
        <f>INPUT!U38</f>
        <v>2400</v>
      </c>
      <c r="G532" s="188">
        <f>INPUT!N38</f>
        <v>2800</v>
      </c>
      <c r="H532" s="175">
        <f>(F532+C532-2*E532)*(G532+B532/2+D532/2)/2</f>
        <v>5769682.5447499966</v>
      </c>
      <c r="I532" s="198">
        <f>INPUT!AW38</f>
        <v>-15.450687251974125</v>
      </c>
      <c r="J532" s="198">
        <f>INPUT!AX38</f>
        <v>0.0077810315162377564</v>
      </c>
      <c r="K532" s="198">
        <f>INPUT!AY38</f>
        <v>-33.358852623308422</v>
      </c>
      <c r="L532" s="174">
        <f>1.25*(I532+J532+K532)/2/H532/IF(B452="Positive",B532,D532)*10^6</f>
        <v>-0.44053693654699411</v>
      </c>
      <c r="M532" s="194">
        <f>SQRT(1-(L532/INPUT!AO38)^2)</f>
        <v>0.99999932800257041</v>
      </c>
    </row>
    <row r="533">
      <c r="A533" s="187">
        <f>A453</f>
        <v>101</v>
      </c>
      <c r="B533" s="189">
        <f>D373</f>
        <v>22</v>
      </c>
      <c r="C533" s="197">
        <f>I373</f>
        <v>1936.3312351792665</v>
      </c>
      <c r="D533" s="189">
        <f>E373</f>
        <v>12</v>
      </c>
      <c r="E533" s="188">
        <f>INPUT!M39</f>
        <v>120</v>
      </c>
      <c r="F533" s="188">
        <f>INPUT!U39</f>
        <v>2400</v>
      </c>
      <c r="G533" s="188">
        <f>INPUT!N39</f>
        <v>2800</v>
      </c>
      <c r="H533" s="175">
        <f>(F533+C533-2*E533)*(G533+B533/2+D533/2)/2</f>
        <v>5769682.5447499966</v>
      </c>
      <c r="I533" s="198">
        <f>INPUT!AW39</f>
        <v>-15.450687251974125</v>
      </c>
      <c r="J533" s="198">
        <f>INPUT!AX39</f>
        <v>0.0077810315162377564</v>
      </c>
      <c r="K533" s="198">
        <f>INPUT!AY39</f>
        <v>-33.358852623308422</v>
      </c>
      <c r="L533" s="174">
        <f>1.25*(I533+J533+K533)/2/H533/IF(B453="Positive",B533,D533)*10^6</f>
        <v>-0.44053693654699411</v>
      </c>
      <c r="M533" s="194">
        <f>SQRT(1-(L533/INPUT!AO39)^2)</f>
        <v>0.99999932800257041</v>
      </c>
    </row>
    <row r="534">
      <c r="A534" s="187">
        <f>A454</f>
        <v>101</v>
      </c>
      <c r="B534" s="189">
        <f>D374</f>
        <v>22</v>
      </c>
      <c r="C534" s="197">
        <f>I374</f>
        <v>1936.3312351792665</v>
      </c>
      <c r="D534" s="189">
        <f>E374</f>
        <v>12</v>
      </c>
      <c r="E534" s="188">
        <f>INPUT!M40</f>
        <v>120</v>
      </c>
      <c r="F534" s="188">
        <f>INPUT!U40</f>
        <v>2400</v>
      </c>
      <c r="G534" s="188">
        <f>INPUT!N40</f>
        <v>2800</v>
      </c>
      <c r="H534" s="175">
        <f>(F534+C534-2*E534)*(G534+B534/2+D534/2)/2</f>
        <v>5769682.5447499966</v>
      </c>
      <c r="I534" s="198">
        <f>INPUT!AW40</f>
        <v>-15.450687251974125</v>
      </c>
      <c r="J534" s="198">
        <f>INPUT!AX40</f>
        <v>0.0077810315162377564</v>
      </c>
      <c r="K534" s="198">
        <f>INPUT!AY40</f>
        <v>-33.358852623308422</v>
      </c>
      <c r="L534" s="174">
        <f>1.25*(I534+J534+K534)/2/H534/IF(B454="Positive",B534,D534)*10^6</f>
        <v>-0.44053693654699411</v>
      </c>
      <c r="M534" s="194">
        <f>SQRT(1-(L534/INPUT!AO40)^2)</f>
        <v>0.99999932800257041</v>
      </c>
    </row>
    <row r="535">
      <c r="A535" s="187">
        <f>A455</f>
        <v>101</v>
      </c>
      <c r="B535" s="189">
        <f>D375</f>
        <v>22</v>
      </c>
      <c r="C535" s="197">
        <f>I375</f>
        <v>1936.3312351792665</v>
      </c>
      <c r="D535" s="189">
        <f>E375</f>
        <v>12</v>
      </c>
      <c r="E535" s="188">
        <f>INPUT!M41</f>
        <v>120</v>
      </c>
      <c r="F535" s="188">
        <f>INPUT!U41</f>
        <v>2400</v>
      </c>
      <c r="G535" s="188">
        <f>INPUT!N41</f>
        <v>2800</v>
      </c>
      <c r="H535" s="175">
        <f>(F535+C535-2*E535)*(G535+B535/2+D535/2)/2</f>
        <v>5769682.5447499966</v>
      </c>
      <c r="I535" s="198">
        <f>INPUT!AW41</f>
        <v>-15.450687251974125</v>
      </c>
      <c r="J535" s="198">
        <f>INPUT!AX41</f>
        <v>0.0077810315162377564</v>
      </c>
      <c r="K535" s="198">
        <f>INPUT!AY41</f>
        <v>-33.358852623308422</v>
      </c>
      <c r="L535" s="174">
        <f>1.25*(I535+J535+K535)/2/H535/IF(B455="Positive",B535,D535)*10^6</f>
        <v>-0.44053693654699411</v>
      </c>
      <c r="M535" s="194">
        <f>SQRT(1-(L535/INPUT!AO41)^2)</f>
        <v>0.99999932800257041</v>
      </c>
    </row>
    <row r="536">
      <c r="A536" s="187">
        <f>A456</f>
        <v>101</v>
      </c>
      <c r="B536" s="189">
        <f>D376</f>
        <v>22</v>
      </c>
      <c r="C536" s="197">
        <f>I376</f>
        <v>1936.3312351792665</v>
      </c>
      <c r="D536" s="189">
        <f>E376</f>
        <v>12</v>
      </c>
      <c r="E536" s="188">
        <f>INPUT!M42</f>
        <v>120</v>
      </c>
      <c r="F536" s="188">
        <f>INPUT!U42</f>
        <v>2400</v>
      </c>
      <c r="G536" s="188">
        <f>INPUT!N42</f>
        <v>2800</v>
      </c>
      <c r="H536" s="175">
        <f>(F536+C536-2*E536)*(G536+B536/2+D536/2)/2</f>
        <v>5769682.5447499966</v>
      </c>
      <c r="I536" s="198">
        <f>INPUT!AW42</f>
        <v>-15.450687251974125</v>
      </c>
      <c r="J536" s="198">
        <f>INPUT!AX42</f>
        <v>0.0077810315162377564</v>
      </c>
      <c r="K536" s="198">
        <f>INPUT!AY42</f>
        <v>-33.358852623308422</v>
      </c>
      <c r="L536" s="174">
        <f>1.25*(I536+J536+K536)/2/H536/IF(B456="Positive",B536,D536)*10^6</f>
        <v>-0.44053693654699411</v>
      </c>
      <c r="M536" s="194">
        <f>SQRT(1-(L536/INPUT!AO42)^2)</f>
        <v>0.99999932800257041</v>
      </c>
    </row>
    <row r="537">
      <c r="A537" s="187">
        <f>A457</f>
        <v>101</v>
      </c>
      <c r="B537" s="189">
        <f>D377</f>
        <v>22</v>
      </c>
      <c r="C537" s="197">
        <f>I377</f>
        <v>1936.3312351792665</v>
      </c>
      <c r="D537" s="189">
        <f>E377</f>
        <v>12</v>
      </c>
      <c r="E537" s="188">
        <f>INPUT!M43</f>
        <v>120</v>
      </c>
      <c r="F537" s="188">
        <f>INPUT!U43</f>
        <v>2400</v>
      </c>
      <c r="G537" s="188">
        <f>INPUT!N43</f>
        <v>2800</v>
      </c>
      <c r="H537" s="175">
        <f>(F537+C537-2*E537)*(G537+B537/2+D537/2)/2</f>
        <v>5769682.5447499966</v>
      </c>
      <c r="I537" s="198">
        <f>INPUT!AW43</f>
        <v>-15.450687251974125</v>
      </c>
      <c r="J537" s="198">
        <f>INPUT!AX43</f>
        <v>0.0077810315162377564</v>
      </c>
      <c r="K537" s="198">
        <f>INPUT!AY43</f>
        <v>-33.358852623308422</v>
      </c>
      <c r="L537" s="174">
        <f>1.25*(I537+J537+K537)/2/H537/IF(B457="Positive",B537,D537)*10^6</f>
        <v>-0.44053693654699411</v>
      </c>
      <c r="M537" s="194">
        <f>SQRT(1-(L537/INPUT!AO43)^2)</f>
        <v>0.99999932800257041</v>
      </c>
    </row>
    <row r="538">
      <c r="A538" s="187">
        <f>A458</f>
        <v>101</v>
      </c>
      <c r="B538" s="189">
        <f>D378</f>
        <v>22</v>
      </c>
      <c r="C538" s="197">
        <f>I378</f>
        <v>1936.3312351792665</v>
      </c>
      <c r="D538" s="189">
        <f>E378</f>
        <v>12</v>
      </c>
      <c r="E538" s="188">
        <f>INPUT!M44</f>
        <v>120</v>
      </c>
      <c r="F538" s="188">
        <f>INPUT!U44</f>
        <v>2400</v>
      </c>
      <c r="G538" s="188">
        <f>INPUT!N44</f>
        <v>2800</v>
      </c>
      <c r="H538" s="175">
        <f>(F538+C538-2*E538)*(G538+B538/2+D538/2)/2</f>
        <v>5769682.5447499966</v>
      </c>
      <c r="I538" s="198">
        <f>INPUT!AW44</f>
        <v>-15.450687251974125</v>
      </c>
      <c r="J538" s="198">
        <f>INPUT!AX44</f>
        <v>0.0077810315162377564</v>
      </c>
      <c r="K538" s="198">
        <f>INPUT!AY44</f>
        <v>-33.358852623308422</v>
      </c>
      <c r="L538" s="174">
        <f>1.25*(I538+J538+K538)/2/H538/IF(B458="Positive",B538,D538)*10^6</f>
        <v>-0.44053693654699411</v>
      </c>
      <c r="M538" s="194">
        <f>SQRT(1-(L538/INPUT!AO44)^2)</f>
        <v>0.99999932800257041</v>
      </c>
    </row>
    <row r="539">
      <c r="A539" s="187">
        <f>A459</f>
        <v>101</v>
      </c>
      <c r="B539" s="189">
        <f>D379</f>
        <v>22</v>
      </c>
      <c r="C539" s="197">
        <f>I379</f>
        <v>1936.3312351792665</v>
      </c>
      <c r="D539" s="189">
        <f>E379</f>
        <v>12</v>
      </c>
      <c r="E539" s="188">
        <f>INPUT!M45</f>
        <v>120</v>
      </c>
      <c r="F539" s="188">
        <f>INPUT!U45</f>
        <v>2400</v>
      </c>
      <c r="G539" s="188">
        <f>INPUT!N45</f>
        <v>2800</v>
      </c>
      <c r="H539" s="175">
        <f>(F539+C539-2*E539)*(G539+B539/2+D539/2)/2</f>
        <v>5769682.5447499966</v>
      </c>
      <c r="I539" s="198">
        <f>INPUT!AW45</f>
        <v>-15.450687251974125</v>
      </c>
      <c r="J539" s="198">
        <f>INPUT!AX45</f>
        <v>0.0077810315162377564</v>
      </c>
      <c r="K539" s="198">
        <f>INPUT!AY45</f>
        <v>-33.358852623308422</v>
      </c>
      <c r="L539" s="174">
        <f>1.25*(I539+J539+K539)/2/H539/IF(B459="Positive",B539,D539)*10^6</f>
        <v>-0.44053693654699411</v>
      </c>
      <c r="M539" s="194">
        <f>SQRT(1-(L539/INPUT!AO45)^2)</f>
        <v>0.99999932800257041</v>
      </c>
    </row>
    <row r="540">
      <c r="A540" s="187">
        <f>A460</f>
        <v>101</v>
      </c>
      <c r="B540" s="189">
        <f>D380</f>
        <v>22</v>
      </c>
      <c r="C540" s="197">
        <f>I380</f>
        <v>1936.3312351792665</v>
      </c>
      <c r="D540" s="189">
        <f>E380</f>
        <v>12</v>
      </c>
      <c r="E540" s="188">
        <f>INPUT!M46</f>
        <v>120</v>
      </c>
      <c r="F540" s="188">
        <f>INPUT!U46</f>
        <v>2400</v>
      </c>
      <c r="G540" s="188">
        <f>INPUT!N46</f>
        <v>2800</v>
      </c>
      <c r="H540" s="175">
        <f>(F540+C540-2*E540)*(G540+B540/2+D540/2)/2</f>
        <v>5769682.5447499966</v>
      </c>
      <c r="I540" s="198">
        <f>INPUT!AW46</f>
        <v>-15.450687251974125</v>
      </c>
      <c r="J540" s="198">
        <f>INPUT!AX46</f>
        <v>0.0077810315162377564</v>
      </c>
      <c r="K540" s="198">
        <f>INPUT!AY46</f>
        <v>-33.358852623308422</v>
      </c>
      <c r="L540" s="174">
        <f>1.25*(I540+J540+K540)/2/H540/IF(B460="Positive",B540,D540)*10^6</f>
        <v>-0.44053693654699411</v>
      </c>
      <c r="M540" s="194">
        <f>SQRT(1-(L540/INPUT!AO46)^2)</f>
        <v>0.99999932800257041</v>
      </c>
    </row>
    <row r="541">
      <c r="A541" s="187">
        <f>A461</f>
        <v>101</v>
      </c>
      <c r="B541" s="189">
        <f>D381</f>
        <v>22</v>
      </c>
      <c r="C541" s="197">
        <f>I381</f>
        <v>1936.3312351792665</v>
      </c>
      <c r="D541" s="189">
        <f>E381</f>
        <v>12</v>
      </c>
      <c r="E541" s="188">
        <f>INPUT!M47</f>
        <v>120</v>
      </c>
      <c r="F541" s="188">
        <f>INPUT!U47</f>
        <v>2400</v>
      </c>
      <c r="G541" s="188">
        <f>INPUT!N47</f>
        <v>2800</v>
      </c>
      <c r="H541" s="175">
        <f>(F541+C541-2*E541)*(G541+B541/2+D541/2)/2</f>
        <v>5769682.5447499966</v>
      </c>
      <c r="I541" s="198">
        <f>INPUT!AW47</f>
        <v>-15.450687251974125</v>
      </c>
      <c r="J541" s="198">
        <f>INPUT!AX47</f>
        <v>0.0077810315162377564</v>
      </c>
      <c r="K541" s="198">
        <f>INPUT!AY47</f>
        <v>-33.358852623308422</v>
      </c>
      <c r="L541" s="174">
        <f>1.25*(I541+J541+K541)/2/H541/IF(B461="Positive",B541,D541)*10^6</f>
        <v>-0.44053693654699411</v>
      </c>
      <c r="M541" s="194">
        <f>SQRT(1-(L541/INPUT!AO47)^2)</f>
        <v>0.99999932800257041</v>
      </c>
    </row>
    <row r="542">
      <c r="A542" s="187">
        <f>A462</f>
        <v>101</v>
      </c>
      <c r="B542" s="189">
        <f>D382</f>
        <v>22</v>
      </c>
      <c r="C542" s="197">
        <f>I382</f>
        <v>1936.3312351792665</v>
      </c>
      <c r="D542" s="189">
        <f>E382</f>
        <v>12</v>
      </c>
      <c r="E542" s="188">
        <f>INPUT!M48</f>
        <v>120</v>
      </c>
      <c r="F542" s="188">
        <f>INPUT!U48</f>
        <v>2400</v>
      </c>
      <c r="G542" s="188">
        <f>INPUT!N48</f>
        <v>2800</v>
      </c>
      <c r="H542" s="175">
        <f>(F542+C542-2*E542)*(G542+B542/2+D542/2)/2</f>
        <v>5769682.5447499966</v>
      </c>
      <c r="I542" s="198">
        <f>INPUT!AW48</f>
        <v>-15.450687251974125</v>
      </c>
      <c r="J542" s="198">
        <f>INPUT!AX48</f>
        <v>0.0077810315162377564</v>
      </c>
      <c r="K542" s="198">
        <f>INPUT!AY48</f>
        <v>-33.358852623308422</v>
      </c>
      <c r="L542" s="174">
        <f>1.25*(I542+J542+K542)/2/H542/IF(B462="Positive",B542,D542)*10^6</f>
        <v>-0.44053693654699411</v>
      </c>
      <c r="M542" s="194">
        <f>SQRT(1-(L542/INPUT!AO48)^2)</f>
        <v>0.99999932800257041</v>
      </c>
    </row>
    <row r="543">
      <c r="A543" s="187">
        <f>A463</f>
        <v>101</v>
      </c>
      <c r="B543" s="189">
        <f>D383</f>
        <v>22</v>
      </c>
      <c r="C543" s="197">
        <f>I383</f>
        <v>1936.3312351792665</v>
      </c>
      <c r="D543" s="189">
        <f>E383</f>
        <v>12</v>
      </c>
      <c r="E543" s="188">
        <f>INPUT!M49</f>
        <v>120</v>
      </c>
      <c r="F543" s="188">
        <f>INPUT!U49</f>
        <v>2400</v>
      </c>
      <c r="G543" s="188">
        <f>INPUT!N49</f>
        <v>2800</v>
      </c>
      <c r="H543" s="175">
        <f>(F543+C543-2*E543)*(G543+B543/2+D543/2)/2</f>
        <v>5769682.5447499966</v>
      </c>
      <c r="I543" s="198">
        <f>INPUT!AW49</f>
        <v>-15.450687251974125</v>
      </c>
      <c r="J543" s="198">
        <f>INPUT!AX49</f>
        <v>0.0077810315162377564</v>
      </c>
      <c r="K543" s="198">
        <f>INPUT!AY49</f>
        <v>-33.358852623308422</v>
      </c>
      <c r="L543" s="174">
        <f>1.25*(I543+J543+K543)/2/H543/IF(B463="Positive",B543,D543)*10^6</f>
        <v>-0.44053693654699411</v>
      </c>
      <c r="M543" s="194">
        <f>SQRT(1-(L543/INPUT!AO49)^2)</f>
        <v>0.99999932800257041</v>
      </c>
    </row>
    <row r="544">
      <c r="A544" s="187">
        <f>A464</f>
        <v>101</v>
      </c>
      <c r="B544" s="189">
        <f>D384</f>
        <v>22</v>
      </c>
      <c r="C544" s="197">
        <f>I384</f>
        <v>1936.3312351792665</v>
      </c>
      <c r="D544" s="189">
        <f>E384</f>
        <v>12</v>
      </c>
      <c r="E544" s="188">
        <f>INPUT!M50</f>
        <v>120</v>
      </c>
      <c r="F544" s="188">
        <f>INPUT!U50</f>
        <v>2400</v>
      </c>
      <c r="G544" s="188">
        <f>INPUT!N50</f>
        <v>2800</v>
      </c>
      <c r="H544" s="175">
        <f>(F544+C544-2*E544)*(G544+B544/2+D544/2)/2</f>
        <v>5769682.5447499966</v>
      </c>
      <c r="I544" s="198">
        <f>INPUT!AW50</f>
        <v>-15.450687251974125</v>
      </c>
      <c r="J544" s="198">
        <f>INPUT!AX50</f>
        <v>0.0077810315162377564</v>
      </c>
      <c r="K544" s="198">
        <f>INPUT!AY50</f>
        <v>-33.358852623308422</v>
      </c>
      <c r="L544" s="174">
        <f>1.25*(I544+J544+K544)/2/H544/IF(B464="Positive",B544,D544)*10^6</f>
        <v>-0.44053693654699411</v>
      </c>
      <c r="M544" s="194">
        <f>SQRT(1-(L544/INPUT!AO50)^2)</f>
        <v>0.99999932800257041</v>
      </c>
    </row>
    <row r="545">
      <c r="A545" s="187">
        <f>A465</f>
        <v>101</v>
      </c>
      <c r="B545" s="189">
        <f>D385</f>
        <v>22</v>
      </c>
      <c r="C545" s="197">
        <f>I385</f>
        <v>1936.3312351792665</v>
      </c>
      <c r="D545" s="189">
        <f>E385</f>
        <v>12</v>
      </c>
      <c r="E545" s="188">
        <f>INPUT!M51</f>
        <v>120</v>
      </c>
      <c r="F545" s="188">
        <f>INPUT!U51</f>
        <v>2400</v>
      </c>
      <c r="G545" s="188">
        <f>INPUT!N51</f>
        <v>2800</v>
      </c>
      <c r="H545" s="175">
        <f>(F545+C545-2*E545)*(G545+B545/2+D545/2)/2</f>
        <v>5769682.5447499966</v>
      </c>
      <c r="I545" s="198">
        <f>INPUT!AW51</f>
        <v>-15.450687251974125</v>
      </c>
      <c r="J545" s="198">
        <f>INPUT!AX51</f>
        <v>0.0077810315162377564</v>
      </c>
      <c r="K545" s="198">
        <f>INPUT!AY51</f>
        <v>-33.358852623308422</v>
      </c>
      <c r="L545" s="174">
        <f>1.25*(I545+J545+K545)/2/H545/IF(B465="Positive",B545,D545)*10^6</f>
        <v>-0.44053693654699411</v>
      </c>
      <c r="M545" s="194">
        <f>SQRT(1-(L545/INPUT!AO51)^2)</f>
        <v>0.99999932800257041</v>
      </c>
    </row>
    <row r="546">
      <c r="A546" s="187">
        <f>A466</f>
        <v>101</v>
      </c>
      <c r="B546" s="189">
        <f>D386</f>
        <v>22</v>
      </c>
      <c r="C546" s="197">
        <f>I386</f>
        <v>1936.3312351792665</v>
      </c>
      <c r="D546" s="189">
        <f>E386</f>
        <v>12</v>
      </c>
      <c r="E546" s="188">
        <f>INPUT!M52</f>
        <v>120</v>
      </c>
      <c r="F546" s="188">
        <f>INPUT!U52</f>
        <v>2400</v>
      </c>
      <c r="G546" s="188">
        <f>INPUT!N52</f>
        <v>2800</v>
      </c>
      <c r="H546" s="175">
        <f>(F546+C546-2*E546)*(G546+B546/2+D546/2)/2</f>
        <v>5769682.5447499966</v>
      </c>
      <c r="I546" s="198">
        <f>INPUT!AW52</f>
        <v>-15.450687251974125</v>
      </c>
      <c r="J546" s="198">
        <f>INPUT!AX52</f>
        <v>0.0077810315162377564</v>
      </c>
      <c r="K546" s="198">
        <f>INPUT!AY52</f>
        <v>-33.358852623308422</v>
      </c>
      <c r="L546" s="174">
        <f>1.25*(I546+J546+K546)/2/H546/IF(B466="Positive",B546,D546)*10^6</f>
        <v>-0.44053693654699411</v>
      </c>
      <c r="M546" s="194">
        <f>SQRT(1-(L546/INPUT!AO52)^2)</f>
        <v>0.99999932800257041</v>
      </c>
    </row>
    <row r="547">
      <c r="A547" s="187">
        <f>A467</f>
        <v>101</v>
      </c>
      <c r="B547" s="189">
        <f>D387</f>
        <v>22</v>
      </c>
      <c r="C547" s="197">
        <f>I387</f>
        <v>1936.3312351792665</v>
      </c>
      <c r="D547" s="189">
        <f>E387</f>
        <v>12</v>
      </c>
      <c r="E547" s="188">
        <f>INPUT!M53</f>
        <v>120</v>
      </c>
      <c r="F547" s="188">
        <f>INPUT!U53</f>
        <v>2400</v>
      </c>
      <c r="G547" s="188">
        <f>INPUT!N53</f>
        <v>2800</v>
      </c>
      <c r="H547" s="175">
        <f>(F547+C547-2*E547)*(G547+B547/2+D547/2)/2</f>
        <v>5769682.5447499966</v>
      </c>
      <c r="I547" s="198">
        <f>INPUT!AW53</f>
        <v>-15.450687251974125</v>
      </c>
      <c r="J547" s="198">
        <f>INPUT!AX53</f>
        <v>0.0077810315162377564</v>
      </c>
      <c r="K547" s="198">
        <f>INPUT!AY53</f>
        <v>-33.358852623308422</v>
      </c>
      <c r="L547" s="174">
        <f>1.25*(I547+J547+K547)/2/H547/IF(B467="Positive",B547,D547)*10^6</f>
        <v>-0.44053693654699411</v>
      </c>
      <c r="M547" s="194">
        <f>SQRT(1-(L547/INPUT!AO53)^2)</f>
        <v>0.99999932800257041</v>
      </c>
    </row>
    <row r="548">
      <c r="A548" s="187">
        <f>A468</f>
        <v>101</v>
      </c>
      <c r="B548" s="189">
        <f>D388</f>
        <v>22</v>
      </c>
      <c r="C548" s="197">
        <f>I388</f>
        <v>1936.3312351792665</v>
      </c>
      <c r="D548" s="189">
        <f>E388</f>
        <v>12</v>
      </c>
      <c r="E548" s="188">
        <f>INPUT!M54</f>
        <v>120</v>
      </c>
      <c r="F548" s="188">
        <f>INPUT!U54</f>
        <v>2400</v>
      </c>
      <c r="G548" s="188">
        <f>INPUT!N54</f>
        <v>2800</v>
      </c>
      <c r="H548" s="175">
        <f>(F548+C548-2*E548)*(G548+B548/2+D548/2)/2</f>
        <v>5769682.5447499966</v>
      </c>
      <c r="I548" s="198">
        <f>INPUT!AW54</f>
        <v>-15.450687251974125</v>
      </c>
      <c r="J548" s="198">
        <f>INPUT!AX54</f>
        <v>0.0077810315162377564</v>
      </c>
      <c r="K548" s="198">
        <f>INPUT!AY54</f>
        <v>-33.358852623308422</v>
      </c>
      <c r="L548" s="174">
        <f>1.25*(I548+J548+K548)/2/H548/IF(B468="Positive",B548,D548)*10^6</f>
        <v>-0.44053693654699411</v>
      </c>
      <c r="M548" s="194">
        <f>SQRT(1-(L548/INPUT!AO54)^2)</f>
        <v>0.99999932800257041</v>
      </c>
    </row>
    <row r="549">
      <c r="A549" s="187">
        <f>A469</f>
        <v>101</v>
      </c>
      <c r="B549" s="189">
        <f>D389</f>
        <v>22</v>
      </c>
      <c r="C549" s="197">
        <f>I389</f>
        <v>1936.3312351792665</v>
      </c>
      <c r="D549" s="189">
        <f>E389</f>
        <v>12</v>
      </c>
      <c r="E549" s="188">
        <f>INPUT!M55</f>
        <v>120</v>
      </c>
      <c r="F549" s="188">
        <f>INPUT!U55</f>
        <v>2400</v>
      </c>
      <c r="G549" s="188">
        <f>INPUT!N55</f>
        <v>2800</v>
      </c>
      <c r="H549" s="175">
        <f>(F549+C549-2*E549)*(G549+B549/2+D549/2)/2</f>
        <v>5769682.5447499966</v>
      </c>
      <c r="I549" s="198">
        <f>INPUT!AW55</f>
        <v>-15.450687251974125</v>
      </c>
      <c r="J549" s="198">
        <f>INPUT!AX55</f>
        <v>0.0077810315162377564</v>
      </c>
      <c r="K549" s="198">
        <f>INPUT!AY55</f>
        <v>-33.358852623308422</v>
      </c>
      <c r="L549" s="174">
        <f>1.25*(I549+J549+K549)/2/H549/IF(B469="Positive",B549,D549)*10^6</f>
        <v>-0.44053693654699411</v>
      </c>
      <c r="M549" s="194">
        <f>SQRT(1-(L549/INPUT!AO55)^2)</f>
        <v>0.99999932800257041</v>
      </c>
    </row>
    <row r="550">
      <c r="A550" s="187">
        <f>A470</f>
        <v>101</v>
      </c>
      <c r="B550" s="189">
        <f>D390</f>
        <v>22</v>
      </c>
      <c r="C550" s="197">
        <f>I390</f>
        <v>1936.3312351792665</v>
      </c>
      <c r="D550" s="189">
        <f>E390</f>
        <v>12</v>
      </c>
      <c r="E550" s="188">
        <f>INPUT!M56</f>
        <v>120</v>
      </c>
      <c r="F550" s="188">
        <f>INPUT!U56</f>
        <v>2400</v>
      </c>
      <c r="G550" s="188">
        <f>INPUT!N56</f>
        <v>2800</v>
      </c>
      <c r="H550" s="175">
        <f>(F550+C550-2*E550)*(G550+B550/2+D550/2)/2</f>
        <v>5769682.5447499966</v>
      </c>
      <c r="I550" s="198">
        <f>INPUT!AW56</f>
        <v>-15.450687251974125</v>
      </c>
      <c r="J550" s="198">
        <f>INPUT!AX56</f>
        <v>0.0077810315162377564</v>
      </c>
      <c r="K550" s="198">
        <f>INPUT!AY56</f>
        <v>-33.358852623308422</v>
      </c>
      <c r="L550" s="174">
        <f>1.25*(I550+J550+K550)/2/H550/IF(B470="Positive",B550,D550)*10^6</f>
        <v>-0.44053693654699411</v>
      </c>
      <c r="M550" s="194">
        <f>SQRT(1-(L550/INPUT!AO56)^2)</f>
        <v>0.99999932800257041</v>
      </c>
    </row>
    <row r="551">
      <c r="A551" s="187">
        <f>A471</f>
        <v>101</v>
      </c>
      <c r="B551" s="189">
        <f>D391</f>
        <v>22</v>
      </c>
      <c r="C551" s="197">
        <f>I391</f>
        <v>1936.3312351792665</v>
      </c>
      <c r="D551" s="189">
        <f>E391</f>
        <v>12</v>
      </c>
      <c r="E551" s="188">
        <f>INPUT!M57</f>
        <v>120</v>
      </c>
      <c r="F551" s="188">
        <f>INPUT!U57</f>
        <v>2400</v>
      </c>
      <c r="G551" s="188">
        <f>INPUT!N57</f>
        <v>2800</v>
      </c>
      <c r="H551" s="175">
        <f>(F551+C551-2*E551)*(G551+B551/2+D551/2)/2</f>
        <v>5769682.5447499966</v>
      </c>
      <c r="I551" s="198">
        <f>INPUT!AW57</f>
        <v>-15.450687251974125</v>
      </c>
      <c r="J551" s="198">
        <f>INPUT!AX57</f>
        <v>0.0077810315162377564</v>
      </c>
      <c r="K551" s="198">
        <f>INPUT!AY57</f>
        <v>-33.358852623308422</v>
      </c>
      <c r="L551" s="174">
        <f>1.25*(I551+J551+K551)/2/H551/IF(B471="Positive",B551,D551)*10^6</f>
        <v>-0.44053693654699411</v>
      </c>
      <c r="M551" s="194">
        <f>SQRT(1-(L551/INPUT!AO57)^2)</f>
        <v>0.99999932800257041</v>
      </c>
    </row>
    <row r="552">
      <c r="A552" s="187">
        <f>A472</f>
        <v>101</v>
      </c>
      <c r="B552" s="189">
        <f>D392</f>
        <v>22</v>
      </c>
      <c r="C552" s="197">
        <f>I392</f>
        <v>1936.3312351792665</v>
      </c>
      <c r="D552" s="189">
        <f>E392</f>
        <v>12</v>
      </c>
      <c r="E552" s="188">
        <f>INPUT!M58</f>
        <v>120</v>
      </c>
      <c r="F552" s="188">
        <f>INPUT!U58</f>
        <v>2400</v>
      </c>
      <c r="G552" s="188">
        <f>INPUT!N58</f>
        <v>2800</v>
      </c>
      <c r="H552" s="175">
        <f>(F552+C552-2*E552)*(G552+B552/2+D552/2)/2</f>
        <v>5769682.5447499966</v>
      </c>
      <c r="I552" s="198">
        <f>INPUT!AW58</f>
        <v>-15.450687251974125</v>
      </c>
      <c r="J552" s="198">
        <f>INPUT!AX58</f>
        <v>0.0077810315162377564</v>
      </c>
      <c r="K552" s="198">
        <f>INPUT!AY58</f>
        <v>-33.358852623308422</v>
      </c>
      <c r="L552" s="174">
        <f>1.25*(I552+J552+K552)/2/H552/IF(B472="Positive",B552,D552)*10^6</f>
        <v>-0.44053693654699411</v>
      </c>
      <c r="M552" s="194">
        <f>SQRT(1-(L552/INPUT!AO58)^2)</f>
        <v>0.99999932800257041</v>
      </c>
    </row>
    <row r="553">
      <c r="A553" s="187">
        <f>A473</f>
        <v>101</v>
      </c>
      <c r="B553" s="189">
        <f>D393</f>
        <v>22</v>
      </c>
      <c r="C553" s="197">
        <f>I393</f>
        <v>1936.3312351792665</v>
      </c>
      <c r="D553" s="189">
        <f>E393</f>
        <v>12</v>
      </c>
      <c r="E553" s="188">
        <f>INPUT!M59</f>
        <v>120</v>
      </c>
      <c r="F553" s="188">
        <f>INPUT!U59</f>
        <v>2400</v>
      </c>
      <c r="G553" s="188">
        <f>INPUT!N59</f>
        <v>2800</v>
      </c>
      <c r="H553" s="175">
        <f>(F553+C553-2*E553)*(G553+B553/2+D553/2)/2</f>
        <v>5769682.5447499966</v>
      </c>
      <c r="I553" s="198">
        <f>INPUT!AW59</f>
        <v>-15.450687251974125</v>
      </c>
      <c r="J553" s="198">
        <f>INPUT!AX59</f>
        <v>0.0077810315162377564</v>
      </c>
      <c r="K553" s="198">
        <f>INPUT!AY59</f>
        <v>-33.358852623308422</v>
      </c>
      <c r="L553" s="174">
        <f>1.25*(I553+J553+K553)/2/H553/IF(B473="Positive",B553,D553)*10^6</f>
        <v>-0.44053693654699411</v>
      </c>
      <c r="M553" s="194">
        <f>SQRT(1-(L553/INPUT!AO59)^2)</f>
        <v>0.99999932800257041</v>
      </c>
    </row>
    <row r="554">
      <c r="A554" s="187">
        <f>A474</f>
        <v>101</v>
      </c>
      <c r="B554" s="189">
        <f>D394</f>
        <v>22</v>
      </c>
      <c r="C554" s="197">
        <f>I394</f>
        <v>1936.3312351792665</v>
      </c>
      <c r="D554" s="189">
        <f>E394</f>
        <v>12</v>
      </c>
      <c r="E554" s="188">
        <f>INPUT!M60</f>
        <v>120</v>
      </c>
      <c r="F554" s="188">
        <f>INPUT!U60</f>
        <v>2400</v>
      </c>
      <c r="G554" s="188">
        <f>INPUT!N60</f>
        <v>2800</v>
      </c>
      <c r="H554" s="175">
        <f>(F554+C554-2*E554)*(G554+B554/2+D554/2)/2</f>
        <v>5769682.5447499966</v>
      </c>
      <c r="I554" s="198">
        <f>INPUT!AW60</f>
        <v>-15.450687251974125</v>
      </c>
      <c r="J554" s="198">
        <f>INPUT!AX60</f>
        <v>0.0077810315162377564</v>
      </c>
      <c r="K554" s="198">
        <f>INPUT!AY60</f>
        <v>-33.358852623308422</v>
      </c>
      <c r="L554" s="174">
        <f>1.25*(I554+J554+K554)/2/H554/IF(B474="Positive",B554,D554)*10^6</f>
        <v>-0.44053693654699411</v>
      </c>
      <c r="M554" s="194">
        <f>SQRT(1-(L554/INPUT!AO60)^2)</f>
        <v>0.99999932800257041</v>
      </c>
    </row>
    <row r="555">
      <c r="A555" s="187">
        <f>A475</f>
        <v>101</v>
      </c>
      <c r="B555" s="189">
        <f>D395</f>
        <v>22</v>
      </c>
      <c r="C555" s="197">
        <f>I395</f>
        <v>1936.3312351792665</v>
      </c>
      <c r="D555" s="189">
        <f>E395</f>
        <v>12</v>
      </c>
      <c r="E555" s="188">
        <f>INPUT!M61</f>
        <v>120</v>
      </c>
      <c r="F555" s="188">
        <f>INPUT!U61</f>
        <v>2400</v>
      </c>
      <c r="G555" s="188">
        <f>INPUT!N61</f>
        <v>2800</v>
      </c>
      <c r="H555" s="175">
        <f>(F555+C555-2*E555)*(G555+B555/2+D555/2)/2</f>
        <v>5769682.5447499966</v>
      </c>
      <c r="I555" s="198">
        <f>INPUT!AW61</f>
        <v>-15.450687251974125</v>
      </c>
      <c r="J555" s="198">
        <f>INPUT!AX61</f>
        <v>0.0077810315162377564</v>
      </c>
      <c r="K555" s="198">
        <f>INPUT!AY61</f>
        <v>-33.358852623308422</v>
      </c>
      <c r="L555" s="174">
        <f>1.25*(I555+J555+K555)/2/H555/IF(B475="Positive",B555,D555)*10^6</f>
        <v>-0.44053693654699411</v>
      </c>
      <c r="M555" s="194">
        <f>SQRT(1-(L555/INPUT!AO61)^2)</f>
        <v>0.99999932800257041</v>
      </c>
    </row>
    <row r="556">
      <c r="A556" s="187">
        <f>A476</f>
        <v>101</v>
      </c>
      <c r="B556" s="189">
        <f>D396</f>
        <v>22</v>
      </c>
      <c r="C556" s="197">
        <f>I396</f>
        <v>1936.3312351792665</v>
      </c>
      <c r="D556" s="189">
        <f>E396</f>
        <v>12</v>
      </c>
      <c r="E556" s="188">
        <f>INPUT!M62</f>
        <v>120</v>
      </c>
      <c r="F556" s="188">
        <f>INPUT!U62</f>
        <v>2400</v>
      </c>
      <c r="G556" s="188">
        <f>INPUT!N62</f>
        <v>2800</v>
      </c>
      <c r="H556" s="175">
        <f>(F556+C556-2*E556)*(G556+B556/2+D556/2)/2</f>
        <v>5769682.5447499966</v>
      </c>
      <c r="I556" s="198">
        <f>INPUT!AW62</f>
        <v>-15.450687251974125</v>
      </c>
      <c r="J556" s="198">
        <f>INPUT!AX62</f>
        <v>0.0077810315162377564</v>
      </c>
      <c r="K556" s="198">
        <f>INPUT!AY62</f>
        <v>-33.358852623308422</v>
      </c>
      <c r="L556" s="174">
        <f>1.25*(I556+J556+K556)/2/H556/IF(B476="Positive",B556,D556)*10^6</f>
        <v>-0.44053693654699411</v>
      </c>
      <c r="M556" s="194">
        <f>SQRT(1-(L556/INPUT!AO62)^2)</f>
        <v>0.99999932800257041</v>
      </c>
    </row>
    <row r="557">
      <c r="A557" s="187">
        <f>A477</f>
        <v>101</v>
      </c>
      <c r="B557" s="189">
        <f>D397</f>
        <v>22</v>
      </c>
      <c r="C557" s="197">
        <f>I397</f>
        <v>1936.3312351792665</v>
      </c>
      <c r="D557" s="189">
        <f>E397</f>
        <v>12</v>
      </c>
      <c r="E557" s="188">
        <f>INPUT!M63</f>
        <v>120</v>
      </c>
      <c r="F557" s="188">
        <f>INPUT!U63</f>
        <v>2400</v>
      </c>
      <c r="G557" s="188">
        <f>INPUT!N63</f>
        <v>2800</v>
      </c>
      <c r="H557" s="175">
        <f>(F557+C557-2*E557)*(G557+B557/2+D557/2)/2</f>
        <v>5769682.5447499966</v>
      </c>
      <c r="I557" s="198">
        <f>INPUT!AW63</f>
        <v>-15.450687251974125</v>
      </c>
      <c r="J557" s="198">
        <f>INPUT!AX63</f>
        <v>0.0077810315162377564</v>
      </c>
      <c r="K557" s="198">
        <f>INPUT!AY63</f>
        <v>-33.358852623308422</v>
      </c>
      <c r="L557" s="174">
        <f>1.25*(I557+J557+K557)/2/H557/IF(B477="Positive",B557,D557)*10^6</f>
        <v>-0.44053693654699411</v>
      </c>
      <c r="M557" s="194">
        <f>SQRT(1-(L557/INPUT!AO63)^2)</f>
        <v>0.99999932800257041</v>
      </c>
    </row>
    <row r="558">
      <c r="A558" s="187">
        <f>A478</f>
        <v>101</v>
      </c>
      <c r="B558" s="189">
        <f>D398</f>
        <v>22</v>
      </c>
      <c r="C558" s="197">
        <f>I398</f>
        <v>1936.3312351792665</v>
      </c>
      <c r="D558" s="189">
        <f>E398</f>
        <v>12</v>
      </c>
      <c r="E558" s="188">
        <f>INPUT!M64</f>
        <v>120</v>
      </c>
      <c r="F558" s="188">
        <f>INPUT!U64</f>
        <v>2400</v>
      </c>
      <c r="G558" s="188">
        <f>INPUT!N64</f>
        <v>2800</v>
      </c>
      <c r="H558" s="175">
        <f>(F558+C558-2*E558)*(G558+B558/2+D558/2)/2</f>
        <v>5769682.5447499966</v>
      </c>
      <c r="I558" s="198">
        <f>INPUT!AW64</f>
        <v>-15.450687251974125</v>
      </c>
      <c r="J558" s="198">
        <f>INPUT!AX64</f>
        <v>0.0077810315162377564</v>
      </c>
      <c r="K558" s="198">
        <f>INPUT!AY64</f>
        <v>-33.358852623308422</v>
      </c>
      <c r="L558" s="174">
        <f>1.25*(I558+J558+K558)/2/H558/IF(B478="Positive",B558,D558)*10^6</f>
        <v>-0.44053693654699411</v>
      </c>
      <c r="M558" s="194">
        <f>SQRT(1-(L558/INPUT!AO64)^2)</f>
        <v>0.99999932800257041</v>
      </c>
    </row>
    <row r="559">
      <c r="A559" s="187">
        <f>A479</f>
        <v>101</v>
      </c>
      <c r="B559" s="189">
        <f>D399</f>
        <v>22</v>
      </c>
      <c r="C559" s="197">
        <f>I399</f>
        <v>1936.3312351792665</v>
      </c>
      <c r="D559" s="189">
        <f>E399</f>
        <v>12</v>
      </c>
      <c r="E559" s="188">
        <f>INPUT!M65</f>
        <v>120</v>
      </c>
      <c r="F559" s="188">
        <f>INPUT!U65</f>
        <v>2400</v>
      </c>
      <c r="G559" s="188">
        <f>INPUT!N65</f>
        <v>2800</v>
      </c>
      <c r="H559" s="175">
        <f>(F559+C559-2*E559)*(G559+B559/2+D559/2)/2</f>
        <v>5769682.5447499966</v>
      </c>
      <c r="I559" s="198">
        <f>INPUT!AW65</f>
        <v>-15.450687251974125</v>
      </c>
      <c r="J559" s="198">
        <f>INPUT!AX65</f>
        <v>0.0077810315162377564</v>
      </c>
      <c r="K559" s="198">
        <f>INPUT!AY65</f>
        <v>-33.358852623308422</v>
      </c>
      <c r="L559" s="174">
        <f>1.25*(I559+J559+K559)/2/H559/IF(B479="Positive",B559,D559)*10^6</f>
        <v>-0.44053693654699411</v>
      </c>
      <c r="M559" s="194">
        <f>SQRT(1-(L559/INPUT!AO65)^2)</f>
        <v>0.99999932800257041</v>
      </c>
    </row>
    <row r="560">
      <c r="A560" s="187">
        <f>A480</f>
        <v>101</v>
      </c>
      <c r="B560" s="189">
        <f>D400</f>
        <v>22</v>
      </c>
      <c r="C560" s="197">
        <f>I400</f>
        <v>1936.3312351792665</v>
      </c>
      <c r="D560" s="189">
        <f>E400</f>
        <v>12</v>
      </c>
      <c r="E560" s="188">
        <f>INPUT!M66</f>
        <v>120</v>
      </c>
      <c r="F560" s="188">
        <f>INPUT!U66</f>
        <v>2400</v>
      </c>
      <c r="G560" s="188">
        <f>INPUT!N66</f>
        <v>2800</v>
      </c>
      <c r="H560" s="175">
        <f>(F560+C560-2*E560)*(G560+B560/2+D560/2)/2</f>
        <v>5769682.5447499966</v>
      </c>
      <c r="I560" s="198">
        <f>INPUT!AW66</f>
        <v>-15.450687251974125</v>
      </c>
      <c r="J560" s="198">
        <f>INPUT!AX66</f>
        <v>0.0077810315162377564</v>
      </c>
      <c r="K560" s="198">
        <f>INPUT!AY66</f>
        <v>-33.358852623308422</v>
      </c>
      <c r="L560" s="174">
        <f>1.25*(I560+J560+K560)/2/H560/IF(B480="Positive",B560,D560)*10^6</f>
        <v>-0.44053693654699411</v>
      </c>
      <c r="M560" s="194">
        <f>SQRT(1-(L560/INPUT!AO66)^2)</f>
        <v>0.99999932800257041</v>
      </c>
    </row>
    <row r="561">
      <c r="A561" s="187">
        <f>A481</f>
        <v>101</v>
      </c>
      <c r="B561" s="189">
        <f>D401</f>
        <v>22</v>
      </c>
      <c r="C561" s="197">
        <f>I401</f>
        <v>1936.3312351792665</v>
      </c>
      <c r="D561" s="189">
        <f>E401</f>
        <v>12</v>
      </c>
      <c r="E561" s="188">
        <f>INPUT!M67</f>
        <v>120</v>
      </c>
      <c r="F561" s="188">
        <f>INPUT!U67</f>
        <v>2400</v>
      </c>
      <c r="G561" s="188">
        <f>INPUT!N67</f>
        <v>2800</v>
      </c>
      <c r="H561" s="175">
        <f>(F561+C561-2*E561)*(G561+B561/2+D561/2)/2</f>
        <v>5769682.5447499966</v>
      </c>
      <c r="I561" s="198">
        <f>INPUT!AW67</f>
        <v>-15.450687251974125</v>
      </c>
      <c r="J561" s="198">
        <f>INPUT!AX67</f>
        <v>0.0077810315162377564</v>
      </c>
      <c r="K561" s="198">
        <f>INPUT!AY67</f>
        <v>-33.358852623308422</v>
      </c>
      <c r="L561" s="174">
        <f>1.25*(I561+J561+K561)/2/H561/IF(B481="Positive",B561,D561)*10^6</f>
        <v>-0.44053693654699411</v>
      </c>
      <c r="M561" s="194">
        <f>SQRT(1-(L561/INPUT!AO67)^2)</f>
        <v>0.99999932800257041</v>
      </c>
    </row>
    <row r="562">
      <c r="A562" s="187">
        <f>A482</f>
        <v>101</v>
      </c>
      <c r="B562" s="189">
        <f>D402</f>
        <v>22</v>
      </c>
      <c r="C562" s="197">
        <f>I402</f>
        <v>1936.3312351792665</v>
      </c>
      <c r="D562" s="189">
        <f>E402</f>
        <v>12</v>
      </c>
      <c r="E562" s="188">
        <f>INPUT!M68</f>
        <v>120</v>
      </c>
      <c r="F562" s="188">
        <f>INPUT!U68</f>
        <v>2400</v>
      </c>
      <c r="G562" s="188">
        <f>INPUT!N68</f>
        <v>2800</v>
      </c>
      <c r="H562" s="175">
        <f>(F562+C562-2*E562)*(G562+B562/2+D562/2)/2</f>
        <v>5769682.5447499966</v>
      </c>
      <c r="I562" s="198">
        <f>INPUT!AW68</f>
        <v>-15.450687251974125</v>
      </c>
      <c r="J562" s="198">
        <f>INPUT!AX68</f>
        <v>0.0077810315162377564</v>
      </c>
      <c r="K562" s="198">
        <f>INPUT!AY68</f>
        <v>-33.358852623308422</v>
      </c>
      <c r="L562" s="174">
        <f>1.25*(I562+J562+K562)/2/H562/IF(B482="Positive",B562,D562)*10^6</f>
        <v>-0.44053693654699411</v>
      </c>
      <c r="M562" s="194">
        <f>SQRT(1-(L562/INPUT!AO68)^2)</f>
        <v>0.99999932800257041</v>
      </c>
    </row>
    <row r="563">
      <c r="A563" s="187">
        <f>A483</f>
        <v>101</v>
      </c>
      <c r="B563" s="189">
        <f>D403</f>
        <v>22</v>
      </c>
      <c r="C563" s="197">
        <f>I403</f>
        <v>1936.3312351792665</v>
      </c>
      <c r="D563" s="189">
        <f>E403</f>
        <v>12</v>
      </c>
      <c r="E563" s="188">
        <f>INPUT!M69</f>
        <v>120</v>
      </c>
      <c r="F563" s="188">
        <f>INPUT!U69</f>
        <v>2400</v>
      </c>
      <c r="G563" s="188">
        <f>INPUT!N69</f>
        <v>2800</v>
      </c>
      <c r="H563" s="175">
        <f>(F563+C563-2*E563)*(G563+B563/2+D563/2)/2</f>
        <v>5769682.5447499966</v>
      </c>
      <c r="I563" s="198">
        <f>INPUT!AW69</f>
        <v>-15.450687251974125</v>
      </c>
      <c r="J563" s="198">
        <f>INPUT!AX69</f>
        <v>0.0077810315162377564</v>
      </c>
      <c r="K563" s="198">
        <f>INPUT!AY69</f>
        <v>-33.358852623308422</v>
      </c>
      <c r="L563" s="174">
        <f>1.25*(I563+J563+K563)/2/H563/IF(B483="Positive",B563,D563)*10^6</f>
        <v>-0.44053693654699411</v>
      </c>
      <c r="M563" s="194">
        <f>SQRT(1-(L563/INPUT!AO69)^2)</f>
        <v>0.99999932800257041</v>
      </c>
    </row>
    <row r="564">
      <c r="A564" s="187">
        <f>A484</f>
        <v>101</v>
      </c>
      <c r="B564" s="189">
        <f>D404</f>
        <v>22</v>
      </c>
      <c r="C564" s="197">
        <f>I404</f>
        <v>1936.3312351792665</v>
      </c>
      <c r="D564" s="189">
        <f>E404</f>
        <v>12</v>
      </c>
      <c r="E564" s="188">
        <f>INPUT!M70</f>
        <v>120</v>
      </c>
      <c r="F564" s="188">
        <f>INPUT!U70</f>
        <v>2400</v>
      </c>
      <c r="G564" s="188">
        <f>INPUT!N70</f>
        <v>2800</v>
      </c>
      <c r="H564" s="175">
        <f>(F564+C564-2*E564)*(G564+B564/2+D564/2)/2</f>
        <v>5769682.5447499966</v>
      </c>
      <c r="I564" s="198">
        <f>INPUT!AW70</f>
        <v>-15.450687251974125</v>
      </c>
      <c r="J564" s="198">
        <f>INPUT!AX70</f>
        <v>0.0077810315162377564</v>
      </c>
      <c r="K564" s="198">
        <f>INPUT!AY70</f>
        <v>-33.358852623308422</v>
      </c>
      <c r="L564" s="174">
        <f>1.25*(I564+J564+K564)/2/H564/IF(B484="Positive",B564,D564)*10^6</f>
        <v>-0.44053693654699411</v>
      </c>
      <c r="M564" s="194">
        <f>SQRT(1-(L564/INPUT!AO70)^2)</f>
        <v>0.99999932800257041</v>
      </c>
    </row>
    <row r="565">
      <c r="A565" s="187">
        <f>A485</f>
        <v>101</v>
      </c>
      <c r="B565" s="189">
        <f>D405</f>
        <v>22</v>
      </c>
      <c r="C565" s="197">
        <f>I405</f>
        <v>1936.3312351792665</v>
      </c>
      <c r="D565" s="189">
        <f>E405</f>
        <v>12</v>
      </c>
      <c r="E565" s="188">
        <f>INPUT!M71</f>
        <v>120</v>
      </c>
      <c r="F565" s="188">
        <f>INPUT!U71</f>
        <v>2400</v>
      </c>
      <c r="G565" s="188">
        <f>INPUT!N71</f>
        <v>2800</v>
      </c>
      <c r="H565" s="175">
        <f>(F565+C565-2*E565)*(G565+B565/2+D565/2)/2</f>
        <v>5769682.5447499966</v>
      </c>
      <c r="I565" s="198">
        <f>INPUT!AW71</f>
        <v>-15.450687251974125</v>
      </c>
      <c r="J565" s="198">
        <f>INPUT!AX71</f>
        <v>0.0077810315162377564</v>
      </c>
      <c r="K565" s="198">
        <f>INPUT!AY71</f>
        <v>-33.358852623308422</v>
      </c>
      <c r="L565" s="174">
        <f>1.25*(I565+J565+K565)/2/H565/IF(B485="Positive",B565,D565)*10^6</f>
        <v>-0.44053693654699411</v>
      </c>
      <c r="M565" s="194">
        <f>SQRT(1-(L565/INPUT!AO71)^2)</f>
        <v>0.99999932800257041</v>
      </c>
    </row>
    <row r="566">
      <c r="A566" s="187">
        <f>A486</f>
        <v>101</v>
      </c>
      <c r="B566" s="189">
        <f>D406</f>
        <v>22</v>
      </c>
      <c r="C566" s="197">
        <f>I406</f>
        <v>1936.3312351792665</v>
      </c>
      <c r="D566" s="189">
        <f>E406</f>
        <v>12</v>
      </c>
      <c r="E566" s="188">
        <f>INPUT!M72</f>
        <v>120</v>
      </c>
      <c r="F566" s="188">
        <f>INPUT!U72</f>
        <v>2400</v>
      </c>
      <c r="G566" s="188">
        <f>INPUT!N72</f>
        <v>2800</v>
      </c>
      <c r="H566" s="175">
        <f>(F566+C566-2*E566)*(G566+B566/2+D566/2)/2</f>
        <v>5769682.5447499966</v>
      </c>
      <c r="I566" s="198">
        <f>INPUT!AW72</f>
        <v>-15.450687251974125</v>
      </c>
      <c r="J566" s="198">
        <f>INPUT!AX72</f>
        <v>0.0077810315162377564</v>
      </c>
      <c r="K566" s="198">
        <f>INPUT!AY72</f>
        <v>-33.358852623308422</v>
      </c>
      <c r="L566" s="174">
        <f>1.25*(I566+J566+K566)/2/H566/IF(B486="Positive",B566,D566)*10^6</f>
        <v>-0.44053693654699411</v>
      </c>
      <c r="M566" s="194">
        <f>SQRT(1-(L566/INPUT!AO72)^2)</f>
        <v>0.99999932800257041</v>
      </c>
    </row>
    <row r="567">
      <c r="A567" s="187">
        <f>A487</f>
        <v>101</v>
      </c>
      <c r="B567" s="189">
        <f>D407</f>
        <v>22</v>
      </c>
      <c r="C567" s="197">
        <f>I407</f>
        <v>1936.3312351792665</v>
      </c>
      <c r="D567" s="189">
        <f>E407</f>
        <v>12</v>
      </c>
      <c r="E567" s="188">
        <f>INPUT!M73</f>
        <v>120</v>
      </c>
      <c r="F567" s="188">
        <f>INPUT!U73</f>
        <v>2400</v>
      </c>
      <c r="G567" s="188">
        <f>INPUT!N73</f>
        <v>2800</v>
      </c>
      <c r="H567" s="175">
        <f>(F567+C567-2*E567)*(G567+B567/2+D567/2)/2</f>
        <v>5769682.5447499966</v>
      </c>
      <c r="I567" s="198">
        <f>INPUT!AW73</f>
        <v>-15.450687251974125</v>
      </c>
      <c r="J567" s="198">
        <f>INPUT!AX73</f>
        <v>0.0077810315162377564</v>
      </c>
      <c r="K567" s="198">
        <f>INPUT!AY73</f>
        <v>-33.358852623308422</v>
      </c>
      <c r="L567" s="174">
        <f>1.25*(I567+J567+K567)/2/H567/IF(B487="Positive",B567,D567)*10^6</f>
        <v>-0.44053693654699411</v>
      </c>
      <c r="M567" s="194">
        <f>SQRT(1-(L567/INPUT!AO73)^2)</f>
        <v>0.99999932800257041</v>
      </c>
    </row>
    <row r="568">
      <c r="A568" s="187">
        <f>A488</f>
        <v>101</v>
      </c>
      <c r="B568" s="189">
        <f>D408</f>
        <v>22</v>
      </c>
      <c r="C568" s="197">
        <f>I408</f>
        <v>1936.3312351792665</v>
      </c>
      <c r="D568" s="189">
        <f>E408</f>
        <v>12</v>
      </c>
      <c r="E568" s="188">
        <f>INPUT!M74</f>
        <v>120</v>
      </c>
      <c r="F568" s="188">
        <f>INPUT!U74</f>
        <v>2400</v>
      </c>
      <c r="G568" s="188">
        <f>INPUT!N74</f>
        <v>2800</v>
      </c>
      <c r="H568" s="175">
        <f>(F568+C568-2*E568)*(G568+B568/2+D568/2)/2</f>
        <v>5769682.5447499966</v>
      </c>
      <c r="I568" s="198">
        <f>INPUT!AW74</f>
        <v>-15.450687251974125</v>
      </c>
      <c r="J568" s="198">
        <f>INPUT!AX74</f>
        <v>0.0077810315162377564</v>
      </c>
      <c r="K568" s="198">
        <f>INPUT!AY74</f>
        <v>-33.358852623308422</v>
      </c>
      <c r="L568" s="174">
        <f>1.25*(I568+J568+K568)/2/H568/IF(B488="Positive",B568,D568)*10^6</f>
        <v>-0.44053693654699411</v>
      </c>
      <c r="M568" s="194">
        <f>SQRT(1-(L568/INPUT!AO74)^2)</f>
        <v>0.99999932800257041</v>
      </c>
    </row>
    <row r="569">
      <c r="A569" s="187">
        <f>A489</f>
        <v>101</v>
      </c>
      <c r="B569" s="189">
        <f>D409</f>
        <v>22</v>
      </c>
      <c r="C569" s="197">
        <f>I409</f>
        <v>1936.3312351792665</v>
      </c>
      <c r="D569" s="189">
        <f>E409</f>
        <v>12</v>
      </c>
      <c r="E569" s="188">
        <f>INPUT!M75</f>
        <v>120</v>
      </c>
      <c r="F569" s="188">
        <f>INPUT!U75</f>
        <v>2400</v>
      </c>
      <c r="G569" s="188">
        <f>INPUT!N75</f>
        <v>2800</v>
      </c>
      <c r="H569" s="175">
        <f>(F569+C569-2*E569)*(G569+B569/2+D569/2)/2</f>
        <v>5769682.5447499966</v>
      </c>
      <c r="I569" s="198">
        <f>INPUT!AW75</f>
        <v>-15.450687251974125</v>
      </c>
      <c r="J569" s="198">
        <f>INPUT!AX75</f>
        <v>0.0077810315162377564</v>
      </c>
      <c r="K569" s="198">
        <f>INPUT!AY75</f>
        <v>-33.358852623308422</v>
      </c>
      <c r="L569" s="174">
        <f>1.25*(I569+J569+K569)/2/H569/IF(B489="Positive",B569,D569)*10^6</f>
        <v>-0.44053693654699411</v>
      </c>
      <c r="M569" s="194">
        <f>SQRT(1-(L569/INPUT!AO75)^2)</f>
        <v>0.99999932800257041</v>
      </c>
    </row>
    <row r="570">
      <c r="A570" s="187">
        <f>A490</f>
        <v>101</v>
      </c>
      <c r="B570" s="189">
        <f>D410</f>
        <v>22</v>
      </c>
      <c r="C570" s="197">
        <f>I410</f>
        <v>1936.3312351792665</v>
      </c>
      <c r="D570" s="189">
        <f>E410</f>
        <v>12</v>
      </c>
      <c r="E570" s="188">
        <f>INPUT!M76</f>
        <v>120</v>
      </c>
      <c r="F570" s="188">
        <f>INPUT!U76</f>
        <v>2400</v>
      </c>
      <c r="G570" s="188">
        <f>INPUT!N76</f>
        <v>2800</v>
      </c>
      <c r="H570" s="175">
        <f>(F570+C570-2*E570)*(G570+B570/2+D570/2)/2</f>
        <v>5769682.5447499966</v>
      </c>
      <c r="I570" s="198">
        <f>INPUT!AW76</f>
        <v>-15.450687251974125</v>
      </c>
      <c r="J570" s="198">
        <f>INPUT!AX76</f>
        <v>0.0077810315162377564</v>
      </c>
      <c r="K570" s="198">
        <f>INPUT!AY76</f>
        <v>-33.358852623308422</v>
      </c>
      <c r="L570" s="174">
        <f>1.25*(I570+J570+K570)/2/H570/IF(B490="Positive",B570,D570)*10^6</f>
        <v>-0.44053693654699411</v>
      </c>
      <c r="M570" s="194">
        <f>SQRT(1-(L570/INPUT!AO76)^2)</f>
        <v>0.99999932800257041</v>
      </c>
    </row>
    <row r="571">
      <c r="A571" s="187">
        <f>A491</f>
        <v>101</v>
      </c>
      <c r="B571" s="189">
        <f>D411</f>
        <v>22</v>
      </c>
      <c r="C571" s="197">
        <f>I411</f>
        <v>1936.3312351792665</v>
      </c>
      <c r="D571" s="189">
        <f>E411</f>
        <v>12</v>
      </c>
      <c r="E571" s="188">
        <f>INPUT!M77</f>
        <v>120</v>
      </c>
      <c r="F571" s="188">
        <f>INPUT!U77</f>
        <v>2400</v>
      </c>
      <c r="G571" s="188">
        <f>INPUT!N77</f>
        <v>2800</v>
      </c>
      <c r="H571" s="175">
        <f>(F571+C571-2*E571)*(G571+B571/2+D571/2)/2</f>
        <v>5769682.5447499966</v>
      </c>
      <c r="I571" s="198">
        <f>INPUT!AW77</f>
        <v>-15.450687251974125</v>
      </c>
      <c r="J571" s="198">
        <f>INPUT!AX77</f>
        <v>0.0077810315162377564</v>
      </c>
      <c r="K571" s="198">
        <f>INPUT!AY77</f>
        <v>-33.358852623308422</v>
      </c>
      <c r="L571" s="174">
        <f>1.25*(I571+J571+K571)/2/H571/IF(B491="Positive",B571,D571)*10^6</f>
        <v>-0.44053693654699411</v>
      </c>
      <c r="M571" s="194">
        <f>SQRT(1-(L571/INPUT!AO77)^2)</f>
        <v>0.99999932800257041</v>
      </c>
    </row>
    <row r="572">
      <c r="A572" s="187">
        <f>A492</f>
        <v>101</v>
      </c>
      <c r="B572" s="189">
        <f>D412</f>
        <v>22</v>
      </c>
      <c r="C572" s="197">
        <f>I412</f>
        <v>1936.3312351792665</v>
      </c>
      <c r="D572" s="189">
        <f>E412</f>
        <v>12</v>
      </c>
      <c r="E572" s="188">
        <f>INPUT!M78</f>
        <v>120</v>
      </c>
      <c r="F572" s="188">
        <f>INPUT!U78</f>
        <v>2400</v>
      </c>
      <c r="G572" s="188">
        <f>INPUT!N78</f>
        <v>2800</v>
      </c>
      <c r="H572" s="175">
        <f>(F572+C572-2*E572)*(G572+B572/2+D572/2)/2</f>
        <v>5769682.5447499966</v>
      </c>
      <c r="I572" s="198">
        <f>INPUT!AW78</f>
        <v>-15.450687251974125</v>
      </c>
      <c r="J572" s="198">
        <f>INPUT!AX78</f>
        <v>0.0077810315162377564</v>
      </c>
      <c r="K572" s="198">
        <f>INPUT!AY78</f>
        <v>-33.358852623308422</v>
      </c>
      <c r="L572" s="174">
        <f>1.25*(I572+J572+K572)/2/H572/IF(B492="Positive",B572,D572)*10^6</f>
        <v>-0.44053693654699411</v>
      </c>
      <c r="M572" s="194">
        <f>SQRT(1-(L572/INPUT!AO78)^2)</f>
        <v>0.99999932800257041</v>
      </c>
    </row>
    <row r="573"/>
    <row r="574" ht="15" customHeight="1">
      <c r="A574" s="59" t="s">
        <v>388</v>
      </c>
      <c r="B574" s="132"/>
      <c r="C574" s="133"/>
      <c r="D574" s="134"/>
      <c r="E574" s="132"/>
      <c r="F574" s="132"/>
      <c r="G574" s="109"/>
      <c r="H574" s="132"/>
      <c r="I574" s="132"/>
      <c r="J574" s="133"/>
      <c r="K574" s="133"/>
      <c r="L574" s="133"/>
      <c r="M574" s="133"/>
    </row>
    <row r="575" ht="15" customHeight="1">
      <c r="A575" s="72" t="s">
        <v>230</v>
      </c>
      <c r="B575" s="78" t="s">
        <v>242</v>
      </c>
      <c r="C575" s="508" t="s">
        <v>389</v>
      </c>
      <c r="D575" s="509"/>
      <c r="E575" s="509"/>
      <c r="F575" s="509"/>
      <c r="G575" s="510"/>
      <c r="H575" s="78" t="s">
        <v>32</v>
      </c>
      <c r="I575" s="78" t="s">
        <v>390</v>
      </c>
      <c r="J575" s="78" t="s">
        <v>391</v>
      </c>
      <c r="K575" s="78" t="s">
        <v>392</v>
      </c>
      <c r="L575" s="73" t="s">
        <v>334</v>
      </c>
      <c r="M575" s="74" t="s">
        <v>393</v>
      </c>
    </row>
    <row r="576" ht="15" customHeight="1">
      <c r="A576" s="75"/>
      <c r="B576" s="79" t="s">
        <v>250</v>
      </c>
      <c r="C576" s="76" t="s">
        <v>394</v>
      </c>
      <c r="D576" s="76" t="s">
        <v>395</v>
      </c>
      <c r="E576" s="76" t="s">
        <v>396</v>
      </c>
      <c r="F576" s="76" t="s">
        <v>397</v>
      </c>
      <c r="G576" s="76" t="s">
        <v>398</v>
      </c>
      <c r="H576" s="76"/>
      <c r="I576" s="76"/>
      <c r="J576" s="76"/>
      <c r="K576" s="76"/>
      <c r="L576" s="76"/>
      <c r="M576" s="77"/>
    </row>
    <row r="577" ht="15" customHeight="1">
      <c r="A577" s="182">
        <f>A497</f>
        <v>101</v>
      </c>
      <c r="B577" s="131" t="str">
        <f>B417</f>
        <v>Negative</v>
      </c>
      <c r="C577" s="180">
        <f>INPUT!AF3</f>
        <v>160</v>
      </c>
      <c r="D577" s="180">
        <f>INPUT!AE3</f>
        <v>10</v>
      </c>
      <c r="E577" s="180">
        <f>INPUT!AI3</f>
        <v>0</v>
      </c>
      <c r="F577" s="180">
        <f>INPUT!AH3</f>
        <v>0</v>
      </c>
      <c r="G577" s="481">
        <f>IF(B577="Positive",1/3*F577*E577^3,1/3*D577*C577^3)</f>
        <v>13653333.333333332</v>
      </c>
      <c r="H577" s="199">
        <f>IF(B577="Positive",IF(E577=0,0,(F497-K577*F577)/(K577+1)),IF(C577=0,0,(C497-2*E497-K577*D577)/(K577+1)))</f>
        <v>558.7770783930888</v>
      </c>
      <c r="I577" s="199">
        <f>IF(B577="Positive",D337,E337)</f>
        <v>12</v>
      </c>
      <c r="J577" s="199">
        <f>IF(B577="Positive",H337,I337)</f>
        <v>1936.3312351792665</v>
      </c>
      <c r="K577" s="180">
        <f>IF(B577="Positive",INPUT!AG3,INPUT!AD3)</f>
        <v>2</v>
      </c>
      <c r="L577" s="131">
        <f>IF(H577=0,4,MIN(MAX((IF(K577=1,8,0.894)*G577/H577/I577^3)^(1/3),1),4))</f>
        <v>2.3295102753141137</v>
      </c>
      <c r="M577" s="194">
        <f>IF(H577=0,5.34,MIN((5.34+2.84*(G577/H577/I577^3)^(1/3))/((K577+1)^2),5.34))</f>
        <v>1.3563979013960836</v>
      </c>
    </row>
    <row r="578">
      <c r="A578" s="182">
        <f>A498</f>
        <v>101</v>
      </c>
      <c r="B578" s="131" t="str">
        <f>B418</f>
        <v>Negative</v>
      </c>
      <c r="C578" s="180">
        <f>INPUT!AF4</f>
        <v>160</v>
      </c>
      <c r="D578" s="180">
        <f>INPUT!AE4</f>
        <v>10</v>
      </c>
      <c r="E578" s="180">
        <f>INPUT!AI4</f>
        <v>0</v>
      </c>
      <c r="F578" s="180">
        <f>INPUT!AH4</f>
        <v>0</v>
      </c>
      <c r="G578" s="481">
        <f>IF(B578="Positive",1/3*F578*E578^3,1/3*D578*C578^3)</f>
        <v>13653333.333333332</v>
      </c>
      <c r="H578" s="199">
        <f>IF(B578="Positive",IF(E578=0,0,(F498-K578*F578)/(K578+1)),IF(C578=0,0,(C498-2*E498-K578*D578)/(K578+1)))</f>
        <v>558.7770783930888</v>
      </c>
      <c r="I578" s="199">
        <f>IF(B578="Positive",D338,E338)</f>
        <v>12</v>
      </c>
      <c r="J578" s="199">
        <f>IF(B578="Positive",H338,I338)</f>
        <v>1936.3312351792665</v>
      </c>
      <c r="K578" s="180">
        <f>IF(B578="Positive",INPUT!AG4,INPUT!AD4)</f>
        <v>2</v>
      </c>
      <c r="L578" s="131">
        <f>IF(H578=0,4,MIN(MAX((IF(K578=1,8,0.894)*G578/H578/I578^3)^(1/3),1),4))</f>
        <v>2.3295102753141137</v>
      </c>
      <c r="M578" s="194">
        <f>IF(H578=0,5.34,MIN((5.34+2.84*(G578/H578/I578^3)^(1/3))/((K578+1)^2),5.34))</f>
        <v>1.3563979013960836</v>
      </c>
    </row>
    <row r="579">
      <c r="A579" s="182">
        <f>A499</f>
        <v>101</v>
      </c>
      <c r="B579" s="131" t="str">
        <f>B419</f>
        <v>Negative</v>
      </c>
      <c r="C579" s="180">
        <f>INPUT!AF5</f>
        <v>160</v>
      </c>
      <c r="D579" s="180">
        <f>INPUT!AE5</f>
        <v>10</v>
      </c>
      <c r="E579" s="180">
        <f>INPUT!AI5</f>
        <v>0</v>
      </c>
      <c r="F579" s="180">
        <f>INPUT!AH5</f>
        <v>0</v>
      </c>
      <c r="G579" s="481">
        <f>IF(B579="Positive",1/3*F579*E579^3,1/3*D579*C579^3)</f>
        <v>13653333.333333332</v>
      </c>
      <c r="H579" s="199">
        <f>IF(B579="Positive",IF(E579=0,0,(F499-K579*F579)/(K579+1)),IF(C579=0,0,(C499-2*E499-K579*D579)/(K579+1)))</f>
        <v>558.7770783930888</v>
      </c>
      <c r="I579" s="199">
        <f>IF(B579="Positive",D339,E339)</f>
        <v>12</v>
      </c>
      <c r="J579" s="199">
        <f>IF(B579="Positive",H339,I339)</f>
        <v>1936.3312351792665</v>
      </c>
      <c r="K579" s="180">
        <f>IF(B579="Positive",INPUT!AG5,INPUT!AD5)</f>
        <v>2</v>
      </c>
      <c r="L579" s="131">
        <f>IF(H579=0,4,MIN(MAX((IF(K579=1,8,0.894)*G579/H579/I579^3)^(1/3),1),4))</f>
        <v>2.3295102753141137</v>
      </c>
      <c r="M579" s="194">
        <f>IF(H579=0,5.34,MIN((5.34+2.84*(G579/H579/I579^3)^(1/3))/((K579+1)^2),5.34))</f>
        <v>1.3563979013960836</v>
      </c>
    </row>
    <row r="580">
      <c r="A580" s="182">
        <f>A500</f>
        <v>101</v>
      </c>
      <c r="B580" s="131" t="str">
        <f>B420</f>
        <v>Negative</v>
      </c>
      <c r="C580" s="180">
        <f>INPUT!AF6</f>
        <v>160</v>
      </c>
      <c r="D580" s="180">
        <f>INPUT!AE6</f>
        <v>10</v>
      </c>
      <c r="E580" s="180">
        <f>INPUT!AI6</f>
        <v>0</v>
      </c>
      <c r="F580" s="180">
        <f>INPUT!AH6</f>
        <v>0</v>
      </c>
      <c r="G580" s="481">
        <f>IF(B580="Positive",1/3*F580*E580^3,1/3*D580*C580^3)</f>
        <v>13653333.333333332</v>
      </c>
      <c r="H580" s="199">
        <f>IF(B580="Positive",IF(E580=0,0,(F500-K580*F580)/(K580+1)),IF(C580=0,0,(C500-2*E500-K580*D580)/(K580+1)))</f>
        <v>558.7770783930888</v>
      </c>
      <c r="I580" s="199">
        <f>IF(B580="Positive",D340,E340)</f>
        <v>12</v>
      </c>
      <c r="J580" s="199">
        <f>IF(B580="Positive",H340,I340)</f>
        <v>1936.3312351792665</v>
      </c>
      <c r="K580" s="180">
        <f>IF(B580="Positive",INPUT!AG6,INPUT!AD6)</f>
        <v>2</v>
      </c>
      <c r="L580" s="131">
        <f>IF(H580=0,4,MIN(MAX((IF(K580=1,8,0.894)*G580/H580/I580^3)^(1/3),1),4))</f>
        <v>2.3295102753141137</v>
      </c>
      <c r="M580" s="194">
        <f>IF(H580=0,5.34,MIN((5.34+2.84*(G580/H580/I580^3)^(1/3))/((K580+1)^2),5.34))</f>
        <v>1.3563979013960836</v>
      </c>
    </row>
    <row r="581">
      <c r="A581" s="182">
        <f>A501</f>
        <v>101</v>
      </c>
      <c r="B581" s="131" t="str">
        <f>B421</f>
        <v>Negative</v>
      </c>
      <c r="C581" s="180">
        <f>INPUT!AF7</f>
        <v>160</v>
      </c>
      <c r="D581" s="180">
        <f>INPUT!AE7</f>
        <v>10</v>
      </c>
      <c r="E581" s="180">
        <f>INPUT!AI7</f>
        <v>0</v>
      </c>
      <c r="F581" s="180">
        <f>INPUT!AH7</f>
        <v>0</v>
      </c>
      <c r="G581" s="481">
        <f>IF(B581="Positive",1/3*F581*E581^3,1/3*D581*C581^3)</f>
        <v>13653333.333333332</v>
      </c>
      <c r="H581" s="199">
        <f>IF(B581="Positive",IF(E581=0,0,(F501-K581*F581)/(K581+1)),IF(C581=0,0,(C501-2*E501-K581*D581)/(K581+1)))</f>
        <v>558.7770783930888</v>
      </c>
      <c r="I581" s="199">
        <f>IF(B581="Positive",D341,E341)</f>
        <v>12</v>
      </c>
      <c r="J581" s="199">
        <f>IF(B581="Positive",H341,I341)</f>
        <v>1936.3312351792665</v>
      </c>
      <c r="K581" s="180">
        <f>IF(B581="Positive",INPUT!AG7,INPUT!AD7)</f>
        <v>2</v>
      </c>
      <c r="L581" s="131">
        <f>IF(H581=0,4,MIN(MAX((IF(K581=1,8,0.894)*G581/H581/I581^3)^(1/3),1),4))</f>
        <v>2.3295102753141137</v>
      </c>
      <c r="M581" s="194">
        <f>IF(H581=0,5.34,MIN((5.34+2.84*(G581/H581/I581^3)^(1/3))/((K581+1)^2),5.34))</f>
        <v>1.3563979013960836</v>
      </c>
    </row>
    <row r="582">
      <c r="A582" s="182">
        <f>A502</f>
        <v>101</v>
      </c>
      <c r="B582" s="131" t="str">
        <f>B422</f>
        <v>Negative</v>
      </c>
      <c r="C582" s="180">
        <f>INPUT!AF8</f>
        <v>160</v>
      </c>
      <c r="D582" s="180">
        <f>INPUT!AE8</f>
        <v>10</v>
      </c>
      <c r="E582" s="180">
        <f>INPUT!AI8</f>
        <v>0</v>
      </c>
      <c r="F582" s="180">
        <f>INPUT!AH8</f>
        <v>0</v>
      </c>
      <c r="G582" s="481">
        <f>IF(B582="Positive",1/3*F582*E582^3,1/3*D582*C582^3)</f>
        <v>13653333.333333332</v>
      </c>
      <c r="H582" s="199">
        <f>IF(B582="Positive",IF(E582=0,0,(F502-K582*F582)/(K582+1)),IF(C582=0,0,(C502-2*E502-K582*D582)/(K582+1)))</f>
        <v>558.7770783930888</v>
      </c>
      <c r="I582" s="199">
        <f>IF(B582="Positive",D342,E342)</f>
        <v>12</v>
      </c>
      <c r="J582" s="199">
        <f>IF(B582="Positive",H342,I342)</f>
        <v>1936.3312351792665</v>
      </c>
      <c r="K582" s="180">
        <f>IF(B582="Positive",INPUT!AG8,INPUT!AD8)</f>
        <v>2</v>
      </c>
      <c r="L582" s="131">
        <f>IF(H582=0,4,MIN(MAX((IF(K582=1,8,0.894)*G582/H582/I582^3)^(1/3),1),4))</f>
        <v>2.3295102753141137</v>
      </c>
      <c r="M582" s="194">
        <f>IF(H582=0,5.34,MIN((5.34+2.84*(G582/H582/I582^3)^(1/3))/((K582+1)^2),5.34))</f>
        <v>1.3563979013960836</v>
      </c>
    </row>
    <row r="583">
      <c r="A583" s="182">
        <f>A503</f>
        <v>101</v>
      </c>
      <c r="B583" s="131" t="str">
        <f>B423</f>
        <v>Negative</v>
      </c>
      <c r="C583" s="180">
        <f>INPUT!AF9</f>
        <v>160</v>
      </c>
      <c r="D583" s="180">
        <f>INPUT!AE9</f>
        <v>10</v>
      </c>
      <c r="E583" s="180">
        <f>INPUT!AI9</f>
        <v>0</v>
      </c>
      <c r="F583" s="180">
        <f>INPUT!AH9</f>
        <v>0</v>
      </c>
      <c r="G583" s="481">
        <f>IF(B583="Positive",1/3*F583*E583^3,1/3*D583*C583^3)</f>
        <v>13653333.333333332</v>
      </c>
      <c r="H583" s="199">
        <f>IF(B583="Positive",IF(E583=0,0,(F503-K583*F583)/(K583+1)),IF(C583=0,0,(C503-2*E503-K583*D583)/(K583+1)))</f>
        <v>558.7770783930888</v>
      </c>
      <c r="I583" s="199">
        <f>IF(B583="Positive",D343,E343)</f>
        <v>12</v>
      </c>
      <c r="J583" s="199">
        <f>IF(B583="Positive",H343,I343)</f>
        <v>1936.3312351792665</v>
      </c>
      <c r="K583" s="180">
        <f>IF(B583="Positive",INPUT!AG9,INPUT!AD9)</f>
        <v>2</v>
      </c>
      <c r="L583" s="131">
        <f>IF(H583=0,4,MIN(MAX((IF(K583=1,8,0.894)*G583/H583/I583^3)^(1/3),1),4))</f>
        <v>2.3295102753141137</v>
      </c>
      <c r="M583" s="194">
        <f>IF(H583=0,5.34,MIN((5.34+2.84*(G583/H583/I583^3)^(1/3))/((K583+1)^2),5.34))</f>
        <v>1.3563979013960836</v>
      </c>
    </row>
    <row r="584">
      <c r="A584" s="182">
        <f>A504</f>
        <v>101</v>
      </c>
      <c r="B584" s="131" t="str">
        <f>B424</f>
        <v>Negative</v>
      </c>
      <c r="C584" s="180">
        <f>INPUT!AF10</f>
        <v>160</v>
      </c>
      <c r="D584" s="180">
        <f>INPUT!AE10</f>
        <v>10</v>
      </c>
      <c r="E584" s="180">
        <f>INPUT!AI10</f>
        <v>0</v>
      </c>
      <c r="F584" s="180">
        <f>INPUT!AH10</f>
        <v>0</v>
      </c>
      <c r="G584" s="481">
        <f>IF(B584="Positive",1/3*F584*E584^3,1/3*D584*C584^3)</f>
        <v>13653333.333333332</v>
      </c>
      <c r="H584" s="199">
        <f>IF(B584="Positive",IF(E584=0,0,(F504-K584*F584)/(K584+1)),IF(C584=0,0,(C504-2*E504-K584*D584)/(K584+1)))</f>
        <v>558.7770783930888</v>
      </c>
      <c r="I584" s="199">
        <f>IF(B584="Positive",D344,E344)</f>
        <v>12</v>
      </c>
      <c r="J584" s="199">
        <f>IF(B584="Positive",H344,I344)</f>
        <v>1936.3312351792665</v>
      </c>
      <c r="K584" s="180">
        <f>IF(B584="Positive",INPUT!AG10,INPUT!AD10)</f>
        <v>2</v>
      </c>
      <c r="L584" s="131">
        <f>IF(H584=0,4,MIN(MAX((IF(K584=1,8,0.894)*G584/H584/I584^3)^(1/3),1),4))</f>
        <v>2.3295102753141137</v>
      </c>
      <c r="M584" s="194">
        <f>IF(H584=0,5.34,MIN((5.34+2.84*(G584/H584/I584^3)^(1/3))/((K584+1)^2),5.34))</f>
        <v>1.3563979013960836</v>
      </c>
    </row>
    <row r="585">
      <c r="A585" s="182">
        <f>A505</f>
        <v>101</v>
      </c>
      <c r="B585" s="131" t="str">
        <f>B425</f>
        <v>Negative</v>
      </c>
      <c r="C585" s="180">
        <f>INPUT!AF11</f>
        <v>160</v>
      </c>
      <c r="D585" s="180">
        <f>INPUT!AE11</f>
        <v>10</v>
      </c>
      <c r="E585" s="180">
        <f>INPUT!AI11</f>
        <v>0</v>
      </c>
      <c r="F585" s="180">
        <f>INPUT!AH11</f>
        <v>0</v>
      </c>
      <c r="G585" s="481">
        <f>IF(B585="Positive",1/3*F585*E585^3,1/3*D585*C585^3)</f>
        <v>13653333.333333332</v>
      </c>
      <c r="H585" s="199">
        <f>IF(B585="Positive",IF(E585=0,0,(F505-K585*F585)/(K585+1)),IF(C585=0,0,(C505-2*E505-K585*D585)/(K585+1)))</f>
        <v>558.7770783930888</v>
      </c>
      <c r="I585" s="199">
        <f>IF(B585="Positive",D345,E345)</f>
        <v>12</v>
      </c>
      <c r="J585" s="199">
        <f>IF(B585="Positive",H345,I345)</f>
        <v>1936.3312351792665</v>
      </c>
      <c r="K585" s="180">
        <f>IF(B585="Positive",INPUT!AG11,INPUT!AD11)</f>
        <v>2</v>
      </c>
      <c r="L585" s="131">
        <f>IF(H585=0,4,MIN(MAX((IF(K585=1,8,0.894)*G585/H585/I585^3)^(1/3),1),4))</f>
        <v>2.3295102753141137</v>
      </c>
      <c r="M585" s="194">
        <f>IF(H585=0,5.34,MIN((5.34+2.84*(G585/H585/I585^3)^(1/3))/((K585+1)^2),5.34))</f>
        <v>1.3563979013960836</v>
      </c>
    </row>
    <row r="586">
      <c r="A586" s="182">
        <f>A506</f>
        <v>101</v>
      </c>
      <c r="B586" s="131" t="str">
        <f>B426</f>
        <v>Negative</v>
      </c>
      <c r="C586" s="180">
        <f>INPUT!AF12</f>
        <v>160</v>
      </c>
      <c r="D586" s="180">
        <f>INPUT!AE12</f>
        <v>10</v>
      </c>
      <c r="E586" s="180">
        <f>INPUT!AI12</f>
        <v>0</v>
      </c>
      <c r="F586" s="180">
        <f>INPUT!AH12</f>
        <v>0</v>
      </c>
      <c r="G586" s="481">
        <f>IF(B586="Positive",1/3*F586*E586^3,1/3*D586*C586^3)</f>
        <v>13653333.333333332</v>
      </c>
      <c r="H586" s="199">
        <f>IF(B586="Positive",IF(E586=0,0,(F506-K586*F586)/(K586+1)),IF(C586=0,0,(C506-2*E506-K586*D586)/(K586+1)))</f>
        <v>558.7770783930888</v>
      </c>
      <c r="I586" s="199">
        <f>IF(B586="Positive",D346,E346)</f>
        <v>12</v>
      </c>
      <c r="J586" s="199">
        <f>IF(B586="Positive",H346,I346)</f>
        <v>1936.3312351792665</v>
      </c>
      <c r="K586" s="180">
        <f>IF(B586="Positive",INPUT!AG12,INPUT!AD12)</f>
        <v>2</v>
      </c>
      <c r="L586" s="131">
        <f>IF(H586=0,4,MIN(MAX((IF(K586=1,8,0.894)*G586/H586/I586^3)^(1/3),1),4))</f>
        <v>2.3295102753141137</v>
      </c>
      <c r="M586" s="194">
        <f>IF(H586=0,5.34,MIN((5.34+2.84*(G586/H586/I586^3)^(1/3))/((K586+1)^2),5.34))</f>
        <v>1.3563979013960836</v>
      </c>
    </row>
    <row r="587">
      <c r="A587" s="182">
        <f>A507</f>
        <v>101</v>
      </c>
      <c r="B587" s="131" t="str">
        <f>B427</f>
        <v>Negative</v>
      </c>
      <c r="C587" s="180">
        <f>INPUT!AF13</f>
        <v>160</v>
      </c>
      <c r="D587" s="180">
        <f>INPUT!AE13</f>
        <v>10</v>
      </c>
      <c r="E587" s="180">
        <f>INPUT!AI13</f>
        <v>0</v>
      </c>
      <c r="F587" s="180">
        <f>INPUT!AH13</f>
        <v>0</v>
      </c>
      <c r="G587" s="481">
        <f>IF(B587="Positive",1/3*F587*E587^3,1/3*D587*C587^3)</f>
        <v>13653333.333333332</v>
      </c>
      <c r="H587" s="199">
        <f>IF(B587="Positive",IF(E587=0,0,(F507-K587*F587)/(K587+1)),IF(C587=0,0,(C507-2*E507-K587*D587)/(K587+1)))</f>
        <v>558.7770783930888</v>
      </c>
      <c r="I587" s="199">
        <f>IF(B587="Positive",D347,E347)</f>
        <v>12</v>
      </c>
      <c r="J587" s="199">
        <f>IF(B587="Positive",H347,I347)</f>
        <v>1936.3312351792665</v>
      </c>
      <c r="K587" s="180">
        <f>IF(B587="Positive",INPUT!AG13,INPUT!AD13)</f>
        <v>2</v>
      </c>
      <c r="L587" s="131">
        <f>IF(H587=0,4,MIN(MAX((IF(K587=1,8,0.894)*G587/H587/I587^3)^(1/3),1),4))</f>
        <v>2.3295102753141137</v>
      </c>
      <c r="M587" s="194">
        <f>IF(H587=0,5.34,MIN((5.34+2.84*(G587/H587/I587^3)^(1/3))/((K587+1)^2),5.34))</f>
        <v>1.3563979013960836</v>
      </c>
    </row>
    <row r="588">
      <c r="A588" s="182">
        <f>A508</f>
        <v>101</v>
      </c>
      <c r="B588" s="131" t="str">
        <f>B428</f>
        <v>Negative</v>
      </c>
      <c r="C588" s="180">
        <f>INPUT!AF14</f>
        <v>160</v>
      </c>
      <c r="D588" s="180">
        <f>INPUT!AE14</f>
        <v>10</v>
      </c>
      <c r="E588" s="180">
        <f>INPUT!AI14</f>
        <v>0</v>
      </c>
      <c r="F588" s="180">
        <f>INPUT!AH14</f>
        <v>0</v>
      </c>
      <c r="G588" s="481">
        <f>IF(B588="Positive",1/3*F588*E588^3,1/3*D588*C588^3)</f>
        <v>13653333.333333332</v>
      </c>
      <c r="H588" s="199">
        <f>IF(B588="Positive",IF(E588=0,0,(F508-K588*F588)/(K588+1)),IF(C588=0,0,(C508-2*E508-K588*D588)/(K588+1)))</f>
        <v>558.7770783930888</v>
      </c>
      <c r="I588" s="199">
        <f>IF(B588="Positive",D348,E348)</f>
        <v>12</v>
      </c>
      <c r="J588" s="199">
        <f>IF(B588="Positive",H348,I348)</f>
        <v>1936.3312351792665</v>
      </c>
      <c r="K588" s="180">
        <f>IF(B588="Positive",INPUT!AG14,INPUT!AD14)</f>
        <v>2</v>
      </c>
      <c r="L588" s="131">
        <f>IF(H588=0,4,MIN(MAX((IF(K588=1,8,0.894)*G588/H588/I588^3)^(1/3),1),4))</f>
        <v>2.3295102753141137</v>
      </c>
      <c r="M588" s="194">
        <f>IF(H588=0,5.34,MIN((5.34+2.84*(G588/H588/I588^3)^(1/3))/((K588+1)^2),5.34))</f>
        <v>1.3563979013960836</v>
      </c>
    </row>
    <row r="589">
      <c r="A589" s="182">
        <f>A509</f>
        <v>101</v>
      </c>
      <c r="B589" s="131" t="str">
        <f>B429</f>
        <v>Negative</v>
      </c>
      <c r="C589" s="180">
        <f>INPUT!AF15</f>
        <v>160</v>
      </c>
      <c r="D589" s="180">
        <f>INPUT!AE15</f>
        <v>10</v>
      </c>
      <c r="E589" s="180">
        <f>INPUT!AI15</f>
        <v>0</v>
      </c>
      <c r="F589" s="180">
        <f>INPUT!AH15</f>
        <v>0</v>
      </c>
      <c r="G589" s="481">
        <f>IF(B589="Positive",1/3*F589*E589^3,1/3*D589*C589^3)</f>
        <v>13653333.333333332</v>
      </c>
      <c r="H589" s="199">
        <f>IF(B589="Positive",IF(E589=0,0,(F509-K589*F589)/(K589+1)),IF(C589=0,0,(C509-2*E509-K589*D589)/(K589+1)))</f>
        <v>558.7770783930888</v>
      </c>
      <c r="I589" s="199">
        <f>IF(B589="Positive",D349,E349)</f>
        <v>12</v>
      </c>
      <c r="J589" s="199">
        <f>IF(B589="Positive",H349,I349)</f>
        <v>1936.3312351792665</v>
      </c>
      <c r="K589" s="180">
        <f>IF(B589="Positive",INPUT!AG15,INPUT!AD15)</f>
        <v>2</v>
      </c>
      <c r="L589" s="131">
        <f>IF(H589=0,4,MIN(MAX((IF(K589=1,8,0.894)*G589/H589/I589^3)^(1/3),1),4))</f>
        <v>2.3295102753141137</v>
      </c>
      <c r="M589" s="194">
        <f>IF(H589=0,5.34,MIN((5.34+2.84*(G589/H589/I589^3)^(1/3))/((K589+1)^2),5.34))</f>
        <v>1.3563979013960836</v>
      </c>
    </row>
    <row r="590">
      <c r="A590" s="182">
        <f>A510</f>
        <v>101</v>
      </c>
      <c r="B590" s="131" t="str">
        <f>B430</f>
        <v>Negative</v>
      </c>
      <c r="C590" s="180">
        <f>INPUT!AF16</f>
        <v>160</v>
      </c>
      <c r="D590" s="180">
        <f>INPUT!AE16</f>
        <v>10</v>
      </c>
      <c r="E590" s="180">
        <f>INPUT!AI16</f>
        <v>0</v>
      </c>
      <c r="F590" s="180">
        <f>INPUT!AH16</f>
        <v>0</v>
      </c>
      <c r="G590" s="481">
        <f>IF(B590="Positive",1/3*F590*E590^3,1/3*D590*C590^3)</f>
        <v>13653333.333333332</v>
      </c>
      <c r="H590" s="199">
        <f>IF(B590="Positive",IF(E590=0,0,(F510-K590*F590)/(K590+1)),IF(C590=0,0,(C510-2*E510-K590*D590)/(K590+1)))</f>
        <v>558.7770783930888</v>
      </c>
      <c r="I590" s="199">
        <f>IF(B590="Positive",D350,E350)</f>
        <v>12</v>
      </c>
      <c r="J590" s="199">
        <f>IF(B590="Positive",H350,I350)</f>
        <v>1936.3312351792665</v>
      </c>
      <c r="K590" s="180">
        <f>IF(B590="Positive",INPUT!AG16,INPUT!AD16)</f>
        <v>2</v>
      </c>
      <c r="L590" s="131">
        <f>IF(H590=0,4,MIN(MAX((IF(K590=1,8,0.894)*G590/H590/I590^3)^(1/3),1),4))</f>
        <v>2.3295102753141137</v>
      </c>
      <c r="M590" s="194">
        <f>IF(H590=0,5.34,MIN((5.34+2.84*(G590/H590/I590^3)^(1/3))/((K590+1)^2),5.34))</f>
        <v>1.3563979013960836</v>
      </c>
    </row>
    <row r="591">
      <c r="A591" s="182">
        <f>A511</f>
        <v>101</v>
      </c>
      <c r="B591" s="131" t="str">
        <f>B431</f>
        <v>Negative</v>
      </c>
      <c r="C591" s="180">
        <f>INPUT!AF17</f>
        <v>160</v>
      </c>
      <c r="D591" s="180">
        <f>INPUT!AE17</f>
        <v>10</v>
      </c>
      <c r="E591" s="180">
        <f>INPUT!AI17</f>
        <v>0</v>
      </c>
      <c r="F591" s="180">
        <f>INPUT!AH17</f>
        <v>0</v>
      </c>
      <c r="G591" s="481">
        <f>IF(B591="Positive",1/3*F591*E591^3,1/3*D591*C591^3)</f>
        <v>13653333.333333332</v>
      </c>
      <c r="H591" s="199">
        <f>IF(B591="Positive",IF(E591=0,0,(F511-K591*F591)/(K591+1)),IF(C591=0,0,(C511-2*E511-K591*D591)/(K591+1)))</f>
        <v>558.7770783930888</v>
      </c>
      <c r="I591" s="199">
        <f>IF(B591="Positive",D351,E351)</f>
        <v>12</v>
      </c>
      <c r="J591" s="199">
        <f>IF(B591="Positive",H351,I351)</f>
        <v>1936.3312351792665</v>
      </c>
      <c r="K591" s="180">
        <f>IF(B591="Positive",INPUT!AG17,INPUT!AD17)</f>
        <v>2</v>
      </c>
      <c r="L591" s="131">
        <f>IF(H591=0,4,MIN(MAX((IF(K591=1,8,0.894)*G591/H591/I591^3)^(1/3),1),4))</f>
        <v>2.3295102753141137</v>
      </c>
      <c r="M591" s="194">
        <f>IF(H591=0,5.34,MIN((5.34+2.84*(G591/H591/I591^3)^(1/3))/((K591+1)^2),5.34))</f>
        <v>1.3563979013960836</v>
      </c>
    </row>
    <row r="592">
      <c r="A592" s="182">
        <f>A512</f>
        <v>101</v>
      </c>
      <c r="B592" s="131" t="str">
        <f>B432</f>
        <v>Negative</v>
      </c>
      <c r="C592" s="180">
        <f>INPUT!AF18</f>
        <v>160</v>
      </c>
      <c r="D592" s="180">
        <f>INPUT!AE18</f>
        <v>10</v>
      </c>
      <c r="E592" s="180">
        <f>INPUT!AI18</f>
        <v>0</v>
      </c>
      <c r="F592" s="180">
        <f>INPUT!AH18</f>
        <v>0</v>
      </c>
      <c r="G592" s="481">
        <f>IF(B592="Positive",1/3*F592*E592^3,1/3*D592*C592^3)</f>
        <v>13653333.333333332</v>
      </c>
      <c r="H592" s="199">
        <f>IF(B592="Positive",IF(E592=0,0,(F512-K592*F592)/(K592+1)),IF(C592=0,0,(C512-2*E512-K592*D592)/(K592+1)))</f>
        <v>558.7770783930888</v>
      </c>
      <c r="I592" s="199">
        <f>IF(B592="Positive",D352,E352)</f>
        <v>12</v>
      </c>
      <c r="J592" s="199">
        <f>IF(B592="Positive",H352,I352)</f>
        <v>1936.3312351792665</v>
      </c>
      <c r="K592" s="180">
        <f>IF(B592="Positive",INPUT!AG18,INPUT!AD18)</f>
        <v>2</v>
      </c>
      <c r="L592" s="131">
        <f>IF(H592=0,4,MIN(MAX((IF(K592=1,8,0.894)*G592/H592/I592^3)^(1/3),1),4))</f>
        <v>2.3295102753141137</v>
      </c>
      <c r="M592" s="194">
        <f>IF(H592=0,5.34,MIN((5.34+2.84*(G592/H592/I592^3)^(1/3))/((K592+1)^2),5.34))</f>
        <v>1.3563979013960836</v>
      </c>
    </row>
    <row r="593">
      <c r="A593" s="182">
        <f>A513</f>
        <v>101</v>
      </c>
      <c r="B593" s="131" t="str">
        <f>B433</f>
        <v>Negative</v>
      </c>
      <c r="C593" s="180">
        <f>INPUT!AF19</f>
        <v>160</v>
      </c>
      <c r="D593" s="180">
        <f>INPUT!AE19</f>
        <v>10</v>
      </c>
      <c r="E593" s="180">
        <f>INPUT!AI19</f>
        <v>0</v>
      </c>
      <c r="F593" s="180">
        <f>INPUT!AH19</f>
        <v>0</v>
      </c>
      <c r="G593" s="481">
        <f>IF(B593="Positive",1/3*F593*E593^3,1/3*D593*C593^3)</f>
        <v>13653333.333333332</v>
      </c>
      <c r="H593" s="199">
        <f>IF(B593="Positive",IF(E593=0,0,(F513-K593*F593)/(K593+1)),IF(C593=0,0,(C513-2*E513-K593*D593)/(K593+1)))</f>
        <v>558.7770783930888</v>
      </c>
      <c r="I593" s="199">
        <f>IF(B593="Positive",D353,E353)</f>
        <v>12</v>
      </c>
      <c r="J593" s="199">
        <f>IF(B593="Positive",H353,I353)</f>
        <v>1936.3312351792665</v>
      </c>
      <c r="K593" s="180">
        <f>IF(B593="Positive",INPUT!AG19,INPUT!AD19)</f>
        <v>2</v>
      </c>
      <c r="L593" s="131">
        <f>IF(H593=0,4,MIN(MAX((IF(K593=1,8,0.894)*G593/H593/I593^3)^(1/3),1),4))</f>
        <v>2.3295102753141137</v>
      </c>
      <c r="M593" s="194">
        <f>IF(H593=0,5.34,MIN((5.34+2.84*(G593/H593/I593^3)^(1/3))/((K593+1)^2),5.34))</f>
        <v>1.3563979013960836</v>
      </c>
    </row>
    <row r="594">
      <c r="A594" s="182">
        <f>A514</f>
        <v>101</v>
      </c>
      <c r="B594" s="131" t="str">
        <f>B434</f>
        <v>Negative</v>
      </c>
      <c r="C594" s="180">
        <f>INPUT!AF20</f>
        <v>160</v>
      </c>
      <c r="D594" s="180">
        <f>INPUT!AE20</f>
        <v>10</v>
      </c>
      <c r="E594" s="180">
        <f>INPUT!AI20</f>
        <v>0</v>
      </c>
      <c r="F594" s="180">
        <f>INPUT!AH20</f>
        <v>0</v>
      </c>
      <c r="G594" s="481">
        <f>IF(B594="Positive",1/3*F594*E594^3,1/3*D594*C594^3)</f>
        <v>13653333.333333332</v>
      </c>
      <c r="H594" s="199">
        <f>IF(B594="Positive",IF(E594=0,0,(F514-K594*F594)/(K594+1)),IF(C594=0,0,(C514-2*E514-K594*D594)/(K594+1)))</f>
        <v>558.7770783930888</v>
      </c>
      <c r="I594" s="199">
        <f>IF(B594="Positive",D354,E354)</f>
        <v>12</v>
      </c>
      <c r="J594" s="199">
        <f>IF(B594="Positive",H354,I354)</f>
        <v>1936.3312351792665</v>
      </c>
      <c r="K594" s="180">
        <f>IF(B594="Positive",INPUT!AG20,INPUT!AD20)</f>
        <v>2</v>
      </c>
      <c r="L594" s="131">
        <f>IF(H594=0,4,MIN(MAX((IF(K594=1,8,0.894)*G594/H594/I594^3)^(1/3),1),4))</f>
        <v>2.3295102753141137</v>
      </c>
      <c r="M594" s="194">
        <f>IF(H594=0,5.34,MIN((5.34+2.84*(G594/H594/I594^3)^(1/3))/((K594+1)^2),5.34))</f>
        <v>1.3563979013960836</v>
      </c>
    </row>
    <row r="595">
      <c r="A595" s="182">
        <f>A515</f>
        <v>101</v>
      </c>
      <c r="B595" s="131" t="str">
        <f>B435</f>
        <v>Negative</v>
      </c>
      <c r="C595" s="180">
        <f>INPUT!AF21</f>
        <v>160</v>
      </c>
      <c r="D595" s="180">
        <f>INPUT!AE21</f>
        <v>10</v>
      </c>
      <c r="E595" s="180">
        <f>INPUT!AI21</f>
        <v>0</v>
      </c>
      <c r="F595" s="180">
        <f>INPUT!AH21</f>
        <v>0</v>
      </c>
      <c r="G595" s="481">
        <f>IF(B595="Positive",1/3*F595*E595^3,1/3*D595*C595^3)</f>
        <v>13653333.333333332</v>
      </c>
      <c r="H595" s="199">
        <f>IF(B595="Positive",IF(E595=0,0,(F515-K595*F595)/(K595+1)),IF(C595=0,0,(C515-2*E515-K595*D595)/(K595+1)))</f>
        <v>558.7770783930888</v>
      </c>
      <c r="I595" s="199">
        <f>IF(B595="Positive",D355,E355)</f>
        <v>12</v>
      </c>
      <c r="J595" s="199">
        <f>IF(B595="Positive",H355,I355)</f>
        <v>1936.3312351792665</v>
      </c>
      <c r="K595" s="180">
        <f>IF(B595="Positive",INPUT!AG21,INPUT!AD21)</f>
        <v>2</v>
      </c>
      <c r="L595" s="131">
        <f>IF(H595=0,4,MIN(MAX((IF(K595=1,8,0.894)*G595/H595/I595^3)^(1/3),1),4))</f>
        <v>2.3295102753141137</v>
      </c>
      <c r="M595" s="194">
        <f>IF(H595=0,5.34,MIN((5.34+2.84*(G595/H595/I595^3)^(1/3))/((K595+1)^2),5.34))</f>
        <v>1.3563979013960836</v>
      </c>
    </row>
    <row r="596">
      <c r="A596" s="182">
        <f>A516</f>
        <v>101</v>
      </c>
      <c r="B596" s="131" t="str">
        <f>B436</f>
        <v>Negative</v>
      </c>
      <c r="C596" s="180">
        <f>INPUT!AF22</f>
        <v>160</v>
      </c>
      <c r="D596" s="180">
        <f>INPUT!AE22</f>
        <v>10</v>
      </c>
      <c r="E596" s="180">
        <f>INPUT!AI22</f>
        <v>0</v>
      </c>
      <c r="F596" s="180">
        <f>INPUT!AH22</f>
        <v>0</v>
      </c>
      <c r="G596" s="481">
        <f>IF(B596="Positive",1/3*F596*E596^3,1/3*D596*C596^3)</f>
        <v>13653333.333333332</v>
      </c>
      <c r="H596" s="199">
        <f>IF(B596="Positive",IF(E596=0,0,(F516-K596*F596)/(K596+1)),IF(C596=0,0,(C516-2*E516-K596*D596)/(K596+1)))</f>
        <v>558.7770783930888</v>
      </c>
      <c r="I596" s="199">
        <f>IF(B596="Positive",D356,E356)</f>
        <v>12</v>
      </c>
      <c r="J596" s="199">
        <f>IF(B596="Positive",H356,I356)</f>
        <v>1936.3312351792665</v>
      </c>
      <c r="K596" s="180">
        <f>IF(B596="Positive",INPUT!AG22,INPUT!AD22)</f>
        <v>2</v>
      </c>
      <c r="L596" s="131">
        <f>IF(H596=0,4,MIN(MAX((IF(K596=1,8,0.894)*G596/H596/I596^3)^(1/3),1),4))</f>
        <v>2.3295102753141137</v>
      </c>
      <c r="M596" s="194">
        <f>IF(H596=0,5.34,MIN((5.34+2.84*(G596/H596/I596^3)^(1/3))/((K596+1)^2),5.34))</f>
        <v>1.3563979013960836</v>
      </c>
    </row>
    <row r="597">
      <c r="A597" s="182">
        <f>A517</f>
        <v>101</v>
      </c>
      <c r="B597" s="131" t="str">
        <f>B437</f>
        <v>Negative</v>
      </c>
      <c r="C597" s="180">
        <f>INPUT!AF23</f>
        <v>160</v>
      </c>
      <c r="D597" s="180">
        <f>INPUT!AE23</f>
        <v>10</v>
      </c>
      <c r="E597" s="180">
        <f>INPUT!AI23</f>
        <v>0</v>
      </c>
      <c r="F597" s="180">
        <f>INPUT!AH23</f>
        <v>0</v>
      </c>
      <c r="G597" s="481">
        <f>IF(B597="Positive",1/3*F597*E597^3,1/3*D597*C597^3)</f>
        <v>13653333.333333332</v>
      </c>
      <c r="H597" s="199">
        <f>IF(B597="Positive",IF(E597=0,0,(F517-K597*F597)/(K597+1)),IF(C597=0,0,(C517-2*E517-K597*D597)/(K597+1)))</f>
        <v>558.7770783930888</v>
      </c>
      <c r="I597" s="199">
        <f>IF(B597="Positive",D357,E357)</f>
        <v>12</v>
      </c>
      <c r="J597" s="199">
        <f>IF(B597="Positive",H357,I357)</f>
        <v>1936.3312351792665</v>
      </c>
      <c r="K597" s="180">
        <f>IF(B597="Positive",INPUT!AG23,INPUT!AD23)</f>
        <v>2</v>
      </c>
      <c r="L597" s="131">
        <f>IF(H597=0,4,MIN(MAX((IF(K597=1,8,0.894)*G597/H597/I597^3)^(1/3),1),4))</f>
        <v>2.3295102753141137</v>
      </c>
      <c r="M597" s="194">
        <f>IF(H597=0,5.34,MIN((5.34+2.84*(G597/H597/I597^3)^(1/3))/((K597+1)^2),5.34))</f>
        <v>1.3563979013960836</v>
      </c>
    </row>
    <row r="598">
      <c r="A598" s="182">
        <f>A518</f>
        <v>101</v>
      </c>
      <c r="B598" s="131" t="str">
        <f>B438</f>
        <v>Negative</v>
      </c>
      <c r="C598" s="180">
        <f>INPUT!AF24</f>
        <v>160</v>
      </c>
      <c r="D598" s="180">
        <f>INPUT!AE24</f>
        <v>10</v>
      </c>
      <c r="E598" s="180">
        <f>INPUT!AI24</f>
        <v>0</v>
      </c>
      <c r="F598" s="180">
        <f>INPUT!AH24</f>
        <v>0</v>
      </c>
      <c r="G598" s="481">
        <f>IF(B598="Positive",1/3*F598*E598^3,1/3*D598*C598^3)</f>
        <v>13653333.333333332</v>
      </c>
      <c r="H598" s="199">
        <f>IF(B598="Positive",IF(E598=0,0,(F518-K598*F598)/(K598+1)),IF(C598=0,0,(C518-2*E518-K598*D598)/(K598+1)))</f>
        <v>558.7770783930888</v>
      </c>
      <c r="I598" s="199">
        <f>IF(B598="Positive",D358,E358)</f>
        <v>12</v>
      </c>
      <c r="J598" s="199">
        <f>IF(B598="Positive",H358,I358)</f>
        <v>1936.3312351792665</v>
      </c>
      <c r="K598" s="180">
        <f>IF(B598="Positive",INPUT!AG24,INPUT!AD24)</f>
        <v>2</v>
      </c>
      <c r="L598" s="131">
        <f>IF(H598=0,4,MIN(MAX((IF(K598=1,8,0.894)*G598/H598/I598^3)^(1/3),1),4))</f>
        <v>2.3295102753141137</v>
      </c>
      <c r="M598" s="194">
        <f>IF(H598=0,5.34,MIN((5.34+2.84*(G598/H598/I598^3)^(1/3))/((K598+1)^2),5.34))</f>
        <v>1.3563979013960836</v>
      </c>
    </row>
    <row r="599">
      <c r="A599" s="182">
        <f>A519</f>
        <v>101</v>
      </c>
      <c r="B599" s="131" t="str">
        <f>B439</f>
        <v>Negative</v>
      </c>
      <c r="C599" s="180">
        <f>INPUT!AF25</f>
        <v>160</v>
      </c>
      <c r="D599" s="180">
        <f>INPUT!AE25</f>
        <v>10</v>
      </c>
      <c r="E599" s="180">
        <f>INPUT!AI25</f>
        <v>0</v>
      </c>
      <c r="F599" s="180">
        <f>INPUT!AH25</f>
        <v>0</v>
      </c>
      <c r="G599" s="481">
        <f>IF(B599="Positive",1/3*F599*E599^3,1/3*D599*C599^3)</f>
        <v>13653333.333333332</v>
      </c>
      <c r="H599" s="199">
        <f>IF(B599="Positive",IF(E599=0,0,(F519-K599*F599)/(K599+1)),IF(C599=0,0,(C519-2*E519-K599*D599)/(K599+1)))</f>
        <v>558.7770783930888</v>
      </c>
      <c r="I599" s="199">
        <f>IF(B599="Positive",D359,E359)</f>
        <v>12</v>
      </c>
      <c r="J599" s="199">
        <f>IF(B599="Positive",H359,I359)</f>
        <v>1936.3312351792665</v>
      </c>
      <c r="K599" s="180">
        <f>IF(B599="Positive",INPUT!AG25,INPUT!AD25)</f>
        <v>2</v>
      </c>
      <c r="L599" s="131">
        <f>IF(H599=0,4,MIN(MAX((IF(K599=1,8,0.894)*G599/H599/I599^3)^(1/3),1),4))</f>
        <v>2.3295102753141137</v>
      </c>
      <c r="M599" s="194">
        <f>IF(H599=0,5.34,MIN((5.34+2.84*(G599/H599/I599^3)^(1/3))/((K599+1)^2),5.34))</f>
        <v>1.3563979013960836</v>
      </c>
    </row>
    <row r="600">
      <c r="A600" s="182">
        <f>A520</f>
        <v>101</v>
      </c>
      <c r="B600" s="131" t="str">
        <f>B440</f>
        <v>Negative</v>
      </c>
      <c r="C600" s="180">
        <f>INPUT!AF26</f>
        <v>160</v>
      </c>
      <c r="D600" s="180">
        <f>INPUT!AE26</f>
        <v>10</v>
      </c>
      <c r="E600" s="180">
        <f>INPUT!AI26</f>
        <v>0</v>
      </c>
      <c r="F600" s="180">
        <f>INPUT!AH26</f>
        <v>0</v>
      </c>
      <c r="G600" s="481">
        <f>IF(B600="Positive",1/3*F600*E600^3,1/3*D600*C600^3)</f>
        <v>13653333.333333332</v>
      </c>
      <c r="H600" s="199">
        <f>IF(B600="Positive",IF(E600=0,0,(F520-K600*F600)/(K600+1)),IF(C600=0,0,(C520-2*E520-K600*D600)/(K600+1)))</f>
        <v>558.7770783930888</v>
      </c>
      <c r="I600" s="199">
        <f>IF(B600="Positive",D360,E360)</f>
        <v>12</v>
      </c>
      <c r="J600" s="199">
        <f>IF(B600="Positive",H360,I360)</f>
        <v>1936.3312351792665</v>
      </c>
      <c r="K600" s="180">
        <f>IF(B600="Positive",INPUT!AG26,INPUT!AD26)</f>
        <v>2</v>
      </c>
      <c r="L600" s="131">
        <f>IF(H600=0,4,MIN(MAX((IF(K600=1,8,0.894)*G600/H600/I600^3)^(1/3),1),4))</f>
        <v>2.3295102753141137</v>
      </c>
      <c r="M600" s="194">
        <f>IF(H600=0,5.34,MIN((5.34+2.84*(G600/H600/I600^3)^(1/3))/((K600+1)^2),5.34))</f>
        <v>1.3563979013960836</v>
      </c>
    </row>
    <row r="601">
      <c r="A601" s="182">
        <f>A521</f>
        <v>101</v>
      </c>
      <c r="B601" s="131" t="str">
        <f>B441</f>
        <v>Negative</v>
      </c>
      <c r="C601" s="180">
        <f>INPUT!AF27</f>
        <v>160</v>
      </c>
      <c r="D601" s="180">
        <f>INPUT!AE27</f>
        <v>10</v>
      </c>
      <c r="E601" s="180">
        <f>INPUT!AI27</f>
        <v>0</v>
      </c>
      <c r="F601" s="180">
        <f>INPUT!AH27</f>
        <v>0</v>
      </c>
      <c r="G601" s="481">
        <f>IF(B601="Positive",1/3*F601*E601^3,1/3*D601*C601^3)</f>
        <v>13653333.333333332</v>
      </c>
      <c r="H601" s="199">
        <f>IF(B601="Positive",IF(E601=0,0,(F521-K601*F601)/(K601+1)),IF(C601=0,0,(C521-2*E521-K601*D601)/(K601+1)))</f>
        <v>558.7770783930888</v>
      </c>
      <c r="I601" s="199">
        <f>IF(B601="Positive",D361,E361)</f>
        <v>12</v>
      </c>
      <c r="J601" s="199">
        <f>IF(B601="Positive",H361,I361)</f>
        <v>1936.3312351792665</v>
      </c>
      <c r="K601" s="180">
        <f>IF(B601="Positive",INPUT!AG27,INPUT!AD27)</f>
        <v>2</v>
      </c>
      <c r="L601" s="131">
        <f>IF(H601=0,4,MIN(MAX((IF(K601=1,8,0.894)*G601/H601/I601^3)^(1/3),1),4))</f>
        <v>2.3295102753141137</v>
      </c>
      <c r="M601" s="194">
        <f>IF(H601=0,5.34,MIN((5.34+2.84*(G601/H601/I601^3)^(1/3))/((K601+1)^2),5.34))</f>
        <v>1.3563979013960836</v>
      </c>
    </row>
    <row r="602">
      <c r="A602" s="182">
        <f>A522</f>
        <v>101</v>
      </c>
      <c r="B602" s="131" t="str">
        <f>B442</f>
        <v>Negative</v>
      </c>
      <c r="C602" s="180">
        <f>INPUT!AF28</f>
        <v>160</v>
      </c>
      <c r="D602" s="180">
        <f>INPUT!AE28</f>
        <v>10</v>
      </c>
      <c r="E602" s="180">
        <f>INPUT!AI28</f>
        <v>0</v>
      </c>
      <c r="F602" s="180">
        <f>INPUT!AH28</f>
        <v>0</v>
      </c>
      <c r="G602" s="481">
        <f>IF(B602="Positive",1/3*F602*E602^3,1/3*D602*C602^3)</f>
        <v>13653333.333333332</v>
      </c>
      <c r="H602" s="199">
        <f>IF(B602="Positive",IF(E602=0,0,(F522-K602*F602)/(K602+1)),IF(C602=0,0,(C522-2*E522-K602*D602)/(K602+1)))</f>
        <v>558.7770783930888</v>
      </c>
      <c r="I602" s="199">
        <f>IF(B602="Positive",D362,E362)</f>
        <v>12</v>
      </c>
      <c r="J602" s="199">
        <f>IF(B602="Positive",H362,I362)</f>
        <v>1936.3312351792665</v>
      </c>
      <c r="K602" s="180">
        <f>IF(B602="Positive",INPUT!AG28,INPUT!AD28)</f>
        <v>2</v>
      </c>
      <c r="L602" s="131">
        <f>IF(H602=0,4,MIN(MAX((IF(K602=1,8,0.894)*G602/H602/I602^3)^(1/3),1),4))</f>
        <v>2.3295102753141137</v>
      </c>
      <c r="M602" s="194">
        <f>IF(H602=0,5.34,MIN((5.34+2.84*(G602/H602/I602^3)^(1/3))/((K602+1)^2),5.34))</f>
        <v>1.3563979013960836</v>
      </c>
    </row>
    <row r="603">
      <c r="A603" s="182">
        <f>A523</f>
        <v>101</v>
      </c>
      <c r="B603" s="131" t="str">
        <f>B443</f>
        <v>Negative</v>
      </c>
      <c r="C603" s="180">
        <f>INPUT!AF29</f>
        <v>160</v>
      </c>
      <c r="D603" s="180">
        <f>INPUT!AE29</f>
        <v>10</v>
      </c>
      <c r="E603" s="180">
        <f>INPUT!AI29</f>
        <v>0</v>
      </c>
      <c r="F603" s="180">
        <f>INPUT!AH29</f>
        <v>0</v>
      </c>
      <c r="G603" s="481">
        <f>IF(B603="Positive",1/3*F603*E603^3,1/3*D603*C603^3)</f>
        <v>13653333.333333332</v>
      </c>
      <c r="H603" s="199">
        <f>IF(B603="Positive",IF(E603=0,0,(F523-K603*F603)/(K603+1)),IF(C603=0,0,(C523-2*E523-K603*D603)/(K603+1)))</f>
        <v>558.7770783930888</v>
      </c>
      <c r="I603" s="199">
        <f>IF(B603="Positive",D363,E363)</f>
        <v>12</v>
      </c>
      <c r="J603" s="199">
        <f>IF(B603="Positive",H363,I363)</f>
        <v>1936.3312351792665</v>
      </c>
      <c r="K603" s="180">
        <f>IF(B603="Positive",INPUT!AG29,INPUT!AD29)</f>
        <v>2</v>
      </c>
      <c r="L603" s="131">
        <f>IF(H603=0,4,MIN(MAX((IF(K603=1,8,0.894)*G603/H603/I603^3)^(1/3),1),4))</f>
        <v>2.3295102753141137</v>
      </c>
      <c r="M603" s="194">
        <f>IF(H603=0,5.34,MIN((5.34+2.84*(G603/H603/I603^3)^(1/3))/((K603+1)^2),5.34))</f>
        <v>1.3563979013960836</v>
      </c>
    </row>
    <row r="604">
      <c r="A604" s="182">
        <f>A524</f>
        <v>101</v>
      </c>
      <c r="B604" s="131" t="str">
        <f>B444</f>
        <v>Negative</v>
      </c>
      <c r="C604" s="180">
        <f>INPUT!AF30</f>
        <v>160</v>
      </c>
      <c r="D604" s="180">
        <f>INPUT!AE30</f>
        <v>10</v>
      </c>
      <c r="E604" s="180">
        <f>INPUT!AI30</f>
        <v>0</v>
      </c>
      <c r="F604" s="180">
        <f>INPUT!AH30</f>
        <v>0</v>
      </c>
      <c r="G604" s="481">
        <f>IF(B604="Positive",1/3*F604*E604^3,1/3*D604*C604^3)</f>
        <v>13653333.333333332</v>
      </c>
      <c r="H604" s="199">
        <f>IF(B604="Positive",IF(E604=0,0,(F524-K604*F604)/(K604+1)),IF(C604=0,0,(C524-2*E524-K604*D604)/(K604+1)))</f>
        <v>558.7770783930888</v>
      </c>
      <c r="I604" s="199">
        <f>IF(B604="Positive",D364,E364)</f>
        <v>12</v>
      </c>
      <c r="J604" s="199">
        <f>IF(B604="Positive",H364,I364)</f>
        <v>1936.3312351792665</v>
      </c>
      <c r="K604" s="180">
        <f>IF(B604="Positive",INPUT!AG30,INPUT!AD30)</f>
        <v>2</v>
      </c>
      <c r="L604" s="131">
        <f>IF(H604=0,4,MIN(MAX((IF(K604=1,8,0.894)*G604/H604/I604^3)^(1/3),1),4))</f>
        <v>2.3295102753141137</v>
      </c>
      <c r="M604" s="194">
        <f>IF(H604=0,5.34,MIN((5.34+2.84*(G604/H604/I604^3)^(1/3))/((K604+1)^2),5.34))</f>
        <v>1.3563979013960836</v>
      </c>
    </row>
    <row r="605">
      <c r="A605" s="182">
        <f>A525</f>
        <v>101</v>
      </c>
      <c r="B605" s="131" t="str">
        <f>B445</f>
        <v>Negative</v>
      </c>
      <c r="C605" s="180">
        <f>INPUT!AF31</f>
        <v>160</v>
      </c>
      <c r="D605" s="180">
        <f>INPUT!AE31</f>
        <v>10</v>
      </c>
      <c r="E605" s="180">
        <f>INPUT!AI31</f>
        <v>0</v>
      </c>
      <c r="F605" s="180">
        <f>INPUT!AH31</f>
        <v>0</v>
      </c>
      <c r="G605" s="481">
        <f>IF(B605="Positive",1/3*F605*E605^3,1/3*D605*C605^3)</f>
        <v>13653333.333333332</v>
      </c>
      <c r="H605" s="199">
        <f>IF(B605="Positive",IF(E605=0,0,(F525-K605*F605)/(K605+1)),IF(C605=0,0,(C525-2*E525-K605*D605)/(K605+1)))</f>
        <v>558.7770783930888</v>
      </c>
      <c r="I605" s="199">
        <f>IF(B605="Positive",D365,E365)</f>
        <v>12</v>
      </c>
      <c r="J605" s="199">
        <f>IF(B605="Positive",H365,I365)</f>
        <v>1936.3312351792665</v>
      </c>
      <c r="K605" s="180">
        <f>IF(B605="Positive",INPUT!AG31,INPUT!AD31)</f>
        <v>2</v>
      </c>
      <c r="L605" s="131">
        <f>IF(H605=0,4,MIN(MAX((IF(K605=1,8,0.894)*G605/H605/I605^3)^(1/3),1),4))</f>
        <v>2.3295102753141137</v>
      </c>
      <c r="M605" s="194">
        <f>IF(H605=0,5.34,MIN((5.34+2.84*(G605/H605/I605^3)^(1/3))/((K605+1)^2),5.34))</f>
        <v>1.3563979013960836</v>
      </c>
    </row>
    <row r="606">
      <c r="A606" s="182">
        <f>A526</f>
        <v>101</v>
      </c>
      <c r="B606" s="131" t="str">
        <f>B446</f>
        <v>Negative</v>
      </c>
      <c r="C606" s="180">
        <f>INPUT!AF32</f>
        <v>160</v>
      </c>
      <c r="D606" s="180">
        <f>INPUT!AE32</f>
        <v>10</v>
      </c>
      <c r="E606" s="180">
        <f>INPUT!AI32</f>
        <v>0</v>
      </c>
      <c r="F606" s="180">
        <f>INPUT!AH32</f>
        <v>0</v>
      </c>
      <c r="G606" s="481">
        <f>IF(B606="Positive",1/3*F606*E606^3,1/3*D606*C606^3)</f>
        <v>13653333.333333332</v>
      </c>
      <c r="H606" s="199">
        <f>IF(B606="Positive",IF(E606=0,0,(F526-K606*F606)/(K606+1)),IF(C606=0,0,(C526-2*E526-K606*D606)/(K606+1)))</f>
        <v>558.7770783930888</v>
      </c>
      <c r="I606" s="199">
        <f>IF(B606="Positive",D366,E366)</f>
        <v>12</v>
      </c>
      <c r="J606" s="199">
        <f>IF(B606="Positive",H366,I366)</f>
        <v>1936.3312351792665</v>
      </c>
      <c r="K606" s="180">
        <f>IF(B606="Positive",INPUT!AG32,INPUT!AD32)</f>
        <v>2</v>
      </c>
      <c r="L606" s="131">
        <f>IF(H606=0,4,MIN(MAX((IF(K606=1,8,0.894)*G606/H606/I606^3)^(1/3),1),4))</f>
        <v>2.3295102753141137</v>
      </c>
      <c r="M606" s="194">
        <f>IF(H606=0,5.34,MIN((5.34+2.84*(G606/H606/I606^3)^(1/3))/((K606+1)^2),5.34))</f>
        <v>1.3563979013960836</v>
      </c>
    </row>
    <row r="607">
      <c r="A607" s="182">
        <f>A527</f>
        <v>101</v>
      </c>
      <c r="B607" s="131" t="str">
        <f>B447</f>
        <v>Negative</v>
      </c>
      <c r="C607" s="180">
        <f>INPUT!AF33</f>
        <v>160</v>
      </c>
      <c r="D607" s="180">
        <f>INPUT!AE33</f>
        <v>10</v>
      </c>
      <c r="E607" s="180">
        <f>INPUT!AI33</f>
        <v>0</v>
      </c>
      <c r="F607" s="180">
        <f>INPUT!AH33</f>
        <v>0</v>
      </c>
      <c r="G607" s="481">
        <f>IF(B607="Positive",1/3*F607*E607^3,1/3*D607*C607^3)</f>
        <v>13653333.333333332</v>
      </c>
      <c r="H607" s="199">
        <f>IF(B607="Positive",IF(E607=0,0,(F527-K607*F607)/(K607+1)),IF(C607=0,0,(C527-2*E527-K607*D607)/(K607+1)))</f>
        <v>558.7770783930888</v>
      </c>
      <c r="I607" s="199">
        <f>IF(B607="Positive",D367,E367)</f>
        <v>12</v>
      </c>
      <c r="J607" s="199">
        <f>IF(B607="Positive",H367,I367)</f>
        <v>1936.3312351792665</v>
      </c>
      <c r="K607" s="180">
        <f>IF(B607="Positive",INPUT!AG33,INPUT!AD33)</f>
        <v>2</v>
      </c>
      <c r="L607" s="131">
        <f>IF(H607=0,4,MIN(MAX((IF(K607=1,8,0.894)*G607/H607/I607^3)^(1/3),1),4))</f>
        <v>2.3295102753141137</v>
      </c>
      <c r="M607" s="194">
        <f>IF(H607=0,5.34,MIN((5.34+2.84*(G607/H607/I607^3)^(1/3))/((K607+1)^2),5.34))</f>
        <v>1.3563979013960836</v>
      </c>
    </row>
    <row r="608">
      <c r="A608" s="182">
        <f>A528</f>
        <v>101</v>
      </c>
      <c r="B608" s="131" t="str">
        <f>B448</f>
        <v>Negative</v>
      </c>
      <c r="C608" s="180">
        <f>INPUT!AF34</f>
        <v>160</v>
      </c>
      <c r="D608" s="180">
        <f>INPUT!AE34</f>
        <v>10</v>
      </c>
      <c r="E608" s="180">
        <f>INPUT!AI34</f>
        <v>0</v>
      </c>
      <c r="F608" s="180">
        <f>INPUT!AH34</f>
        <v>0</v>
      </c>
      <c r="G608" s="481">
        <f>IF(B608="Positive",1/3*F608*E608^3,1/3*D608*C608^3)</f>
        <v>13653333.333333332</v>
      </c>
      <c r="H608" s="199">
        <f>IF(B608="Positive",IF(E608=0,0,(F528-K608*F608)/(K608+1)),IF(C608=0,0,(C528-2*E528-K608*D608)/(K608+1)))</f>
        <v>558.7770783930888</v>
      </c>
      <c r="I608" s="199">
        <f>IF(B608="Positive",D368,E368)</f>
        <v>12</v>
      </c>
      <c r="J608" s="199">
        <f>IF(B608="Positive",H368,I368)</f>
        <v>1936.3312351792665</v>
      </c>
      <c r="K608" s="180">
        <f>IF(B608="Positive",INPUT!AG34,INPUT!AD34)</f>
        <v>2</v>
      </c>
      <c r="L608" s="131">
        <f>IF(H608=0,4,MIN(MAX((IF(K608=1,8,0.894)*G608/H608/I608^3)^(1/3),1),4))</f>
        <v>2.3295102753141137</v>
      </c>
      <c r="M608" s="194">
        <f>IF(H608=0,5.34,MIN((5.34+2.84*(G608/H608/I608^3)^(1/3))/((K608+1)^2),5.34))</f>
        <v>1.3563979013960836</v>
      </c>
    </row>
    <row r="609">
      <c r="A609" s="182">
        <f>A529</f>
        <v>101</v>
      </c>
      <c r="B609" s="131" t="str">
        <f>B449</f>
        <v>Negative</v>
      </c>
      <c r="C609" s="180">
        <f>INPUT!AF35</f>
        <v>160</v>
      </c>
      <c r="D609" s="180">
        <f>INPUT!AE35</f>
        <v>10</v>
      </c>
      <c r="E609" s="180">
        <f>INPUT!AI35</f>
        <v>0</v>
      </c>
      <c r="F609" s="180">
        <f>INPUT!AH35</f>
        <v>0</v>
      </c>
      <c r="G609" s="481">
        <f>IF(B609="Positive",1/3*F609*E609^3,1/3*D609*C609^3)</f>
        <v>13653333.333333332</v>
      </c>
      <c r="H609" s="199">
        <f>IF(B609="Positive",IF(E609=0,0,(F529-K609*F609)/(K609+1)),IF(C609=0,0,(C529-2*E529-K609*D609)/(K609+1)))</f>
        <v>558.7770783930888</v>
      </c>
      <c r="I609" s="199">
        <f>IF(B609="Positive",D369,E369)</f>
        <v>12</v>
      </c>
      <c r="J609" s="199">
        <f>IF(B609="Positive",H369,I369)</f>
        <v>1936.3312351792665</v>
      </c>
      <c r="K609" s="180">
        <f>IF(B609="Positive",INPUT!AG35,INPUT!AD35)</f>
        <v>2</v>
      </c>
      <c r="L609" s="131">
        <f>IF(H609=0,4,MIN(MAX((IF(K609=1,8,0.894)*G609/H609/I609^3)^(1/3),1),4))</f>
        <v>2.3295102753141137</v>
      </c>
      <c r="M609" s="194">
        <f>IF(H609=0,5.34,MIN((5.34+2.84*(G609/H609/I609^3)^(1/3))/((K609+1)^2),5.34))</f>
        <v>1.3563979013960836</v>
      </c>
    </row>
    <row r="610">
      <c r="A610" s="182">
        <f>A530</f>
        <v>101</v>
      </c>
      <c r="B610" s="131" t="str">
        <f>B450</f>
        <v>Negative</v>
      </c>
      <c r="C610" s="180">
        <f>INPUT!AF36</f>
        <v>160</v>
      </c>
      <c r="D610" s="180">
        <f>INPUT!AE36</f>
        <v>10</v>
      </c>
      <c r="E610" s="180">
        <f>INPUT!AI36</f>
        <v>0</v>
      </c>
      <c r="F610" s="180">
        <f>INPUT!AH36</f>
        <v>0</v>
      </c>
      <c r="G610" s="481">
        <f>IF(B610="Positive",1/3*F610*E610^3,1/3*D610*C610^3)</f>
        <v>13653333.333333332</v>
      </c>
      <c r="H610" s="199">
        <f>IF(B610="Positive",IF(E610=0,0,(F530-K610*F610)/(K610+1)),IF(C610=0,0,(C530-2*E530-K610*D610)/(K610+1)))</f>
        <v>558.7770783930888</v>
      </c>
      <c r="I610" s="199">
        <f>IF(B610="Positive",D370,E370)</f>
        <v>12</v>
      </c>
      <c r="J610" s="199">
        <f>IF(B610="Positive",H370,I370)</f>
        <v>1936.3312351792665</v>
      </c>
      <c r="K610" s="180">
        <f>IF(B610="Positive",INPUT!AG36,INPUT!AD36)</f>
        <v>2</v>
      </c>
      <c r="L610" s="131">
        <f>IF(H610=0,4,MIN(MAX((IF(K610=1,8,0.894)*G610/H610/I610^3)^(1/3),1),4))</f>
        <v>2.3295102753141137</v>
      </c>
      <c r="M610" s="194">
        <f>IF(H610=0,5.34,MIN((5.34+2.84*(G610/H610/I610^3)^(1/3))/((K610+1)^2),5.34))</f>
        <v>1.3563979013960836</v>
      </c>
    </row>
    <row r="611">
      <c r="A611" s="182">
        <f>A531</f>
        <v>101</v>
      </c>
      <c r="B611" s="131" t="str">
        <f>B451</f>
        <v>Negative</v>
      </c>
      <c r="C611" s="180">
        <f>INPUT!AF37</f>
        <v>160</v>
      </c>
      <c r="D611" s="180">
        <f>INPUT!AE37</f>
        <v>10</v>
      </c>
      <c r="E611" s="180">
        <f>INPUT!AI37</f>
        <v>0</v>
      </c>
      <c r="F611" s="180">
        <f>INPUT!AH37</f>
        <v>0</v>
      </c>
      <c r="G611" s="481">
        <f>IF(B611="Positive",1/3*F611*E611^3,1/3*D611*C611^3)</f>
        <v>13653333.333333332</v>
      </c>
      <c r="H611" s="199">
        <f>IF(B611="Positive",IF(E611=0,0,(F531-K611*F611)/(K611+1)),IF(C611=0,0,(C531-2*E531-K611*D611)/(K611+1)))</f>
        <v>558.7770783930888</v>
      </c>
      <c r="I611" s="199">
        <f>IF(B611="Positive",D371,E371)</f>
        <v>12</v>
      </c>
      <c r="J611" s="199">
        <f>IF(B611="Positive",H371,I371)</f>
        <v>1936.3312351792665</v>
      </c>
      <c r="K611" s="180">
        <f>IF(B611="Positive",INPUT!AG37,INPUT!AD37)</f>
        <v>2</v>
      </c>
      <c r="L611" s="131">
        <f>IF(H611=0,4,MIN(MAX((IF(K611=1,8,0.894)*G611/H611/I611^3)^(1/3),1),4))</f>
        <v>2.3295102753141137</v>
      </c>
      <c r="M611" s="194">
        <f>IF(H611=0,5.34,MIN((5.34+2.84*(G611/H611/I611^3)^(1/3))/((K611+1)^2),5.34))</f>
        <v>1.3563979013960836</v>
      </c>
    </row>
    <row r="612">
      <c r="A612" s="182">
        <f>A532</f>
        <v>101</v>
      </c>
      <c r="B612" s="131" t="str">
        <f>B452</f>
        <v>Negative</v>
      </c>
      <c r="C612" s="180">
        <f>INPUT!AF38</f>
        <v>160</v>
      </c>
      <c r="D612" s="180">
        <f>INPUT!AE38</f>
        <v>10</v>
      </c>
      <c r="E612" s="180">
        <f>INPUT!AI38</f>
        <v>0</v>
      </c>
      <c r="F612" s="180">
        <f>INPUT!AH38</f>
        <v>0</v>
      </c>
      <c r="G612" s="481">
        <f>IF(B612="Positive",1/3*F612*E612^3,1/3*D612*C612^3)</f>
        <v>13653333.333333332</v>
      </c>
      <c r="H612" s="199">
        <f>IF(B612="Positive",IF(E612=0,0,(F532-K612*F612)/(K612+1)),IF(C612=0,0,(C532-2*E532-K612*D612)/(K612+1)))</f>
        <v>558.7770783930888</v>
      </c>
      <c r="I612" s="199">
        <f>IF(B612="Positive",D372,E372)</f>
        <v>12</v>
      </c>
      <c r="J612" s="199">
        <f>IF(B612="Positive",H372,I372)</f>
        <v>1936.3312351792665</v>
      </c>
      <c r="K612" s="180">
        <f>IF(B612="Positive",INPUT!AG38,INPUT!AD38)</f>
        <v>2</v>
      </c>
      <c r="L612" s="131">
        <f>IF(H612=0,4,MIN(MAX((IF(K612=1,8,0.894)*G612/H612/I612^3)^(1/3),1),4))</f>
        <v>2.3295102753141137</v>
      </c>
      <c r="M612" s="194">
        <f>IF(H612=0,5.34,MIN((5.34+2.84*(G612/H612/I612^3)^(1/3))/((K612+1)^2),5.34))</f>
        <v>1.3563979013960836</v>
      </c>
    </row>
    <row r="613">
      <c r="A613" s="182">
        <f>A533</f>
        <v>101</v>
      </c>
      <c r="B613" s="131" t="str">
        <f>B453</f>
        <v>Negative</v>
      </c>
      <c r="C613" s="180">
        <f>INPUT!AF39</f>
        <v>160</v>
      </c>
      <c r="D613" s="180">
        <f>INPUT!AE39</f>
        <v>10</v>
      </c>
      <c r="E613" s="180">
        <f>INPUT!AI39</f>
        <v>0</v>
      </c>
      <c r="F613" s="180">
        <f>INPUT!AH39</f>
        <v>0</v>
      </c>
      <c r="G613" s="481">
        <f>IF(B613="Positive",1/3*F613*E613^3,1/3*D613*C613^3)</f>
        <v>13653333.333333332</v>
      </c>
      <c r="H613" s="199">
        <f>IF(B613="Positive",IF(E613=0,0,(F533-K613*F613)/(K613+1)),IF(C613=0,0,(C533-2*E533-K613*D613)/(K613+1)))</f>
        <v>558.7770783930888</v>
      </c>
      <c r="I613" s="199">
        <f>IF(B613="Positive",D373,E373)</f>
        <v>12</v>
      </c>
      <c r="J613" s="199">
        <f>IF(B613="Positive",H373,I373)</f>
        <v>1936.3312351792665</v>
      </c>
      <c r="K613" s="180">
        <f>IF(B613="Positive",INPUT!AG39,INPUT!AD39)</f>
        <v>2</v>
      </c>
      <c r="L613" s="131">
        <f>IF(H613=0,4,MIN(MAX((IF(K613=1,8,0.894)*G613/H613/I613^3)^(1/3),1),4))</f>
        <v>2.3295102753141137</v>
      </c>
      <c r="M613" s="194">
        <f>IF(H613=0,5.34,MIN((5.34+2.84*(G613/H613/I613^3)^(1/3))/((K613+1)^2),5.34))</f>
        <v>1.3563979013960836</v>
      </c>
    </row>
    <row r="614">
      <c r="A614" s="182">
        <f>A534</f>
        <v>101</v>
      </c>
      <c r="B614" s="131" t="str">
        <f>B454</f>
        <v>Negative</v>
      </c>
      <c r="C614" s="180">
        <f>INPUT!AF40</f>
        <v>160</v>
      </c>
      <c r="D614" s="180">
        <f>INPUT!AE40</f>
        <v>10</v>
      </c>
      <c r="E614" s="180">
        <f>INPUT!AI40</f>
        <v>0</v>
      </c>
      <c r="F614" s="180">
        <f>INPUT!AH40</f>
        <v>0</v>
      </c>
      <c r="G614" s="481">
        <f>IF(B614="Positive",1/3*F614*E614^3,1/3*D614*C614^3)</f>
        <v>13653333.333333332</v>
      </c>
      <c r="H614" s="199">
        <f>IF(B614="Positive",IF(E614=0,0,(F534-K614*F614)/(K614+1)),IF(C614=0,0,(C534-2*E534-K614*D614)/(K614+1)))</f>
        <v>558.7770783930888</v>
      </c>
      <c r="I614" s="199">
        <f>IF(B614="Positive",D374,E374)</f>
        <v>12</v>
      </c>
      <c r="J614" s="199">
        <f>IF(B614="Positive",H374,I374)</f>
        <v>1936.3312351792665</v>
      </c>
      <c r="K614" s="180">
        <f>IF(B614="Positive",INPUT!AG40,INPUT!AD40)</f>
        <v>2</v>
      </c>
      <c r="L614" s="131">
        <f>IF(H614=0,4,MIN(MAX((IF(K614=1,8,0.894)*G614/H614/I614^3)^(1/3),1),4))</f>
        <v>2.3295102753141137</v>
      </c>
      <c r="M614" s="194">
        <f>IF(H614=0,5.34,MIN((5.34+2.84*(G614/H614/I614^3)^(1/3))/((K614+1)^2),5.34))</f>
        <v>1.3563979013960836</v>
      </c>
    </row>
    <row r="615">
      <c r="A615" s="182">
        <f>A535</f>
        <v>101</v>
      </c>
      <c r="B615" s="131" t="str">
        <f>B455</f>
        <v>Negative</v>
      </c>
      <c r="C615" s="180">
        <f>INPUT!AF41</f>
        <v>160</v>
      </c>
      <c r="D615" s="180">
        <f>INPUT!AE41</f>
        <v>10</v>
      </c>
      <c r="E615" s="180">
        <f>INPUT!AI41</f>
        <v>0</v>
      </c>
      <c r="F615" s="180">
        <f>INPUT!AH41</f>
        <v>0</v>
      </c>
      <c r="G615" s="481">
        <f>IF(B615="Positive",1/3*F615*E615^3,1/3*D615*C615^3)</f>
        <v>13653333.333333332</v>
      </c>
      <c r="H615" s="199">
        <f>IF(B615="Positive",IF(E615=0,0,(F535-K615*F615)/(K615+1)),IF(C615=0,0,(C535-2*E535-K615*D615)/(K615+1)))</f>
        <v>558.7770783930888</v>
      </c>
      <c r="I615" s="199">
        <f>IF(B615="Positive",D375,E375)</f>
        <v>12</v>
      </c>
      <c r="J615" s="199">
        <f>IF(B615="Positive",H375,I375)</f>
        <v>1936.3312351792665</v>
      </c>
      <c r="K615" s="180">
        <f>IF(B615="Positive",INPUT!AG41,INPUT!AD41)</f>
        <v>2</v>
      </c>
      <c r="L615" s="131">
        <f>IF(H615=0,4,MIN(MAX((IF(K615=1,8,0.894)*G615/H615/I615^3)^(1/3),1),4))</f>
        <v>2.3295102753141137</v>
      </c>
      <c r="M615" s="194">
        <f>IF(H615=0,5.34,MIN((5.34+2.84*(G615/H615/I615^3)^(1/3))/((K615+1)^2),5.34))</f>
        <v>1.3563979013960836</v>
      </c>
    </row>
    <row r="616">
      <c r="A616" s="182">
        <f>A536</f>
        <v>101</v>
      </c>
      <c r="B616" s="131" t="str">
        <f>B456</f>
        <v>Negative</v>
      </c>
      <c r="C616" s="180">
        <f>INPUT!AF42</f>
        <v>160</v>
      </c>
      <c r="D616" s="180">
        <f>INPUT!AE42</f>
        <v>10</v>
      </c>
      <c r="E616" s="180">
        <f>INPUT!AI42</f>
        <v>0</v>
      </c>
      <c r="F616" s="180">
        <f>INPUT!AH42</f>
        <v>0</v>
      </c>
      <c r="G616" s="481">
        <f>IF(B616="Positive",1/3*F616*E616^3,1/3*D616*C616^3)</f>
        <v>13653333.333333332</v>
      </c>
      <c r="H616" s="199">
        <f>IF(B616="Positive",IF(E616=0,0,(F536-K616*F616)/(K616+1)),IF(C616=0,0,(C536-2*E536-K616*D616)/(K616+1)))</f>
        <v>558.7770783930888</v>
      </c>
      <c r="I616" s="199">
        <f>IF(B616="Positive",D376,E376)</f>
        <v>12</v>
      </c>
      <c r="J616" s="199">
        <f>IF(B616="Positive",H376,I376)</f>
        <v>1936.3312351792665</v>
      </c>
      <c r="K616" s="180">
        <f>IF(B616="Positive",INPUT!AG42,INPUT!AD42)</f>
        <v>2</v>
      </c>
      <c r="L616" s="131">
        <f>IF(H616=0,4,MIN(MAX((IF(K616=1,8,0.894)*G616/H616/I616^3)^(1/3),1),4))</f>
        <v>2.3295102753141137</v>
      </c>
      <c r="M616" s="194">
        <f>IF(H616=0,5.34,MIN((5.34+2.84*(G616/H616/I616^3)^(1/3))/((K616+1)^2),5.34))</f>
        <v>1.3563979013960836</v>
      </c>
    </row>
    <row r="617">
      <c r="A617" s="182">
        <f>A537</f>
        <v>101</v>
      </c>
      <c r="B617" s="131" t="str">
        <f>B457</f>
        <v>Negative</v>
      </c>
      <c r="C617" s="180">
        <f>INPUT!AF43</f>
        <v>160</v>
      </c>
      <c r="D617" s="180">
        <f>INPUT!AE43</f>
        <v>10</v>
      </c>
      <c r="E617" s="180">
        <f>INPUT!AI43</f>
        <v>0</v>
      </c>
      <c r="F617" s="180">
        <f>INPUT!AH43</f>
        <v>0</v>
      </c>
      <c r="G617" s="481">
        <f>IF(B617="Positive",1/3*F617*E617^3,1/3*D617*C617^3)</f>
        <v>13653333.333333332</v>
      </c>
      <c r="H617" s="199">
        <f>IF(B617="Positive",IF(E617=0,0,(F537-K617*F617)/(K617+1)),IF(C617=0,0,(C537-2*E537-K617*D617)/(K617+1)))</f>
        <v>558.7770783930888</v>
      </c>
      <c r="I617" s="199">
        <f>IF(B617="Positive",D377,E377)</f>
        <v>12</v>
      </c>
      <c r="J617" s="199">
        <f>IF(B617="Positive",H377,I377)</f>
        <v>1936.3312351792665</v>
      </c>
      <c r="K617" s="180">
        <f>IF(B617="Positive",INPUT!AG43,INPUT!AD43)</f>
        <v>2</v>
      </c>
      <c r="L617" s="131">
        <f>IF(H617=0,4,MIN(MAX((IF(K617=1,8,0.894)*G617/H617/I617^3)^(1/3),1),4))</f>
        <v>2.3295102753141137</v>
      </c>
      <c r="M617" s="194">
        <f>IF(H617=0,5.34,MIN((5.34+2.84*(G617/H617/I617^3)^(1/3))/((K617+1)^2),5.34))</f>
        <v>1.3563979013960836</v>
      </c>
    </row>
    <row r="618">
      <c r="A618" s="182">
        <f>A538</f>
        <v>101</v>
      </c>
      <c r="B618" s="131" t="str">
        <f>B458</f>
        <v>Negative</v>
      </c>
      <c r="C618" s="180">
        <f>INPUT!AF44</f>
        <v>160</v>
      </c>
      <c r="D618" s="180">
        <f>INPUT!AE44</f>
        <v>10</v>
      </c>
      <c r="E618" s="180">
        <f>INPUT!AI44</f>
        <v>0</v>
      </c>
      <c r="F618" s="180">
        <f>INPUT!AH44</f>
        <v>0</v>
      </c>
      <c r="G618" s="481">
        <f>IF(B618="Positive",1/3*F618*E618^3,1/3*D618*C618^3)</f>
        <v>13653333.333333332</v>
      </c>
      <c r="H618" s="199">
        <f>IF(B618="Positive",IF(E618=0,0,(F538-K618*F618)/(K618+1)),IF(C618=0,0,(C538-2*E538-K618*D618)/(K618+1)))</f>
        <v>558.7770783930888</v>
      </c>
      <c r="I618" s="199">
        <f>IF(B618="Positive",D378,E378)</f>
        <v>12</v>
      </c>
      <c r="J618" s="199">
        <f>IF(B618="Positive",H378,I378)</f>
        <v>1936.3312351792665</v>
      </c>
      <c r="K618" s="180">
        <f>IF(B618="Positive",INPUT!AG44,INPUT!AD44)</f>
        <v>2</v>
      </c>
      <c r="L618" s="131">
        <f>IF(H618=0,4,MIN(MAX((IF(K618=1,8,0.894)*G618/H618/I618^3)^(1/3),1),4))</f>
        <v>2.3295102753141137</v>
      </c>
      <c r="M618" s="194">
        <f>IF(H618=0,5.34,MIN((5.34+2.84*(G618/H618/I618^3)^(1/3))/((K618+1)^2),5.34))</f>
        <v>1.3563979013960836</v>
      </c>
    </row>
    <row r="619">
      <c r="A619" s="182">
        <f>A539</f>
        <v>101</v>
      </c>
      <c r="B619" s="131" t="str">
        <f>B459</f>
        <v>Negative</v>
      </c>
      <c r="C619" s="180">
        <f>INPUT!AF45</f>
        <v>160</v>
      </c>
      <c r="D619" s="180">
        <f>INPUT!AE45</f>
        <v>10</v>
      </c>
      <c r="E619" s="180">
        <f>INPUT!AI45</f>
        <v>0</v>
      </c>
      <c r="F619" s="180">
        <f>INPUT!AH45</f>
        <v>0</v>
      </c>
      <c r="G619" s="481">
        <f>IF(B619="Positive",1/3*F619*E619^3,1/3*D619*C619^3)</f>
        <v>13653333.333333332</v>
      </c>
      <c r="H619" s="199">
        <f>IF(B619="Positive",IF(E619=0,0,(F539-K619*F619)/(K619+1)),IF(C619=0,0,(C539-2*E539-K619*D619)/(K619+1)))</f>
        <v>558.7770783930888</v>
      </c>
      <c r="I619" s="199">
        <f>IF(B619="Positive",D379,E379)</f>
        <v>12</v>
      </c>
      <c r="J619" s="199">
        <f>IF(B619="Positive",H379,I379)</f>
        <v>1936.3312351792665</v>
      </c>
      <c r="K619" s="180">
        <f>IF(B619="Positive",INPUT!AG45,INPUT!AD45)</f>
        <v>2</v>
      </c>
      <c r="L619" s="131">
        <f>IF(H619=0,4,MIN(MAX((IF(K619=1,8,0.894)*G619/H619/I619^3)^(1/3),1),4))</f>
        <v>2.3295102753141137</v>
      </c>
      <c r="M619" s="194">
        <f>IF(H619=0,5.34,MIN((5.34+2.84*(G619/H619/I619^3)^(1/3))/((K619+1)^2),5.34))</f>
        <v>1.3563979013960836</v>
      </c>
    </row>
    <row r="620">
      <c r="A620" s="182">
        <f>A540</f>
        <v>101</v>
      </c>
      <c r="B620" s="131" t="str">
        <f>B460</f>
        <v>Negative</v>
      </c>
      <c r="C620" s="180">
        <f>INPUT!AF46</f>
        <v>160</v>
      </c>
      <c r="D620" s="180">
        <f>INPUT!AE46</f>
        <v>10</v>
      </c>
      <c r="E620" s="180">
        <f>INPUT!AI46</f>
        <v>0</v>
      </c>
      <c r="F620" s="180">
        <f>INPUT!AH46</f>
        <v>0</v>
      </c>
      <c r="G620" s="481">
        <f>IF(B620="Positive",1/3*F620*E620^3,1/3*D620*C620^3)</f>
        <v>13653333.333333332</v>
      </c>
      <c r="H620" s="199">
        <f>IF(B620="Positive",IF(E620=0,0,(F540-K620*F620)/(K620+1)),IF(C620=0,0,(C540-2*E540-K620*D620)/(K620+1)))</f>
        <v>558.7770783930888</v>
      </c>
      <c r="I620" s="199">
        <f>IF(B620="Positive",D380,E380)</f>
        <v>12</v>
      </c>
      <c r="J620" s="199">
        <f>IF(B620="Positive",H380,I380)</f>
        <v>1936.3312351792665</v>
      </c>
      <c r="K620" s="180">
        <f>IF(B620="Positive",INPUT!AG46,INPUT!AD46)</f>
        <v>2</v>
      </c>
      <c r="L620" s="131">
        <f>IF(H620=0,4,MIN(MAX((IF(K620=1,8,0.894)*G620/H620/I620^3)^(1/3),1),4))</f>
        <v>2.3295102753141137</v>
      </c>
      <c r="M620" s="194">
        <f>IF(H620=0,5.34,MIN((5.34+2.84*(G620/H620/I620^3)^(1/3))/((K620+1)^2),5.34))</f>
        <v>1.3563979013960836</v>
      </c>
    </row>
    <row r="621">
      <c r="A621" s="182">
        <f>A541</f>
        <v>101</v>
      </c>
      <c r="B621" s="131" t="str">
        <f>B461</f>
        <v>Negative</v>
      </c>
      <c r="C621" s="180">
        <f>INPUT!AF47</f>
        <v>160</v>
      </c>
      <c r="D621" s="180">
        <f>INPUT!AE47</f>
        <v>10</v>
      </c>
      <c r="E621" s="180">
        <f>INPUT!AI47</f>
        <v>0</v>
      </c>
      <c r="F621" s="180">
        <f>INPUT!AH47</f>
        <v>0</v>
      </c>
      <c r="G621" s="481">
        <f>IF(B621="Positive",1/3*F621*E621^3,1/3*D621*C621^3)</f>
        <v>13653333.333333332</v>
      </c>
      <c r="H621" s="199">
        <f>IF(B621="Positive",IF(E621=0,0,(F541-K621*F621)/(K621+1)),IF(C621=0,0,(C541-2*E541-K621*D621)/(K621+1)))</f>
        <v>558.7770783930888</v>
      </c>
      <c r="I621" s="199">
        <f>IF(B621="Positive",D381,E381)</f>
        <v>12</v>
      </c>
      <c r="J621" s="199">
        <f>IF(B621="Positive",H381,I381)</f>
        <v>1936.3312351792665</v>
      </c>
      <c r="K621" s="180">
        <f>IF(B621="Positive",INPUT!AG47,INPUT!AD47)</f>
        <v>2</v>
      </c>
      <c r="L621" s="131">
        <f>IF(H621=0,4,MIN(MAX((IF(K621=1,8,0.894)*G621/H621/I621^3)^(1/3),1),4))</f>
        <v>2.3295102753141137</v>
      </c>
      <c r="M621" s="194">
        <f>IF(H621=0,5.34,MIN((5.34+2.84*(G621/H621/I621^3)^(1/3))/((K621+1)^2),5.34))</f>
        <v>1.3563979013960836</v>
      </c>
    </row>
    <row r="622">
      <c r="A622" s="182">
        <f>A542</f>
        <v>101</v>
      </c>
      <c r="B622" s="131" t="str">
        <f>B462</f>
        <v>Negative</v>
      </c>
      <c r="C622" s="180">
        <f>INPUT!AF48</f>
        <v>160</v>
      </c>
      <c r="D622" s="180">
        <f>INPUT!AE48</f>
        <v>10</v>
      </c>
      <c r="E622" s="180">
        <f>INPUT!AI48</f>
        <v>0</v>
      </c>
      <c r="F622" s="180">
        <f>INPUT!AH48</f>
        <v>0</v>
      </c>
      <c r="G622" s="481">
        <f>IF(B622="Positive",1/3*F622*E622^3,1/3*D622*C622^3)</f>
        <v>13653333.333333332</v>
      </c>
      <c r="H622" s="199">
        <f>IF(B622="Positive",IF(E622=0,0,(F542-K622*F622)/(K622+1)),IF(C622=0,0,(C542-2*E542-K622*D622)/(K622+1)))</f>
        <v>558.7770783930888</v>
      </c>
      <c r="I622" s="199">
        <f>IF(B622="Positive",D382,E382)</f>
        <v>12</v>
      </c>
      <c r="J622" s="199">
        <f>IF(B622="Positive",H382,I382)</f>
        <v>1936.3312351792665</v>
      </c>
      <c r="K622" s="180">
        <f>IF(B622="Positive",INPUT!AG48,INPUT!AD48)</f>
        <v>2</v>
      </c>
      <c r="L622" s="131">
        <f>IF(H622=0,4,MIN(MAX((IF(K622=1,8,0.894)*G622/H622/I622^3)^(1/3),1),4))</f>
        <v>2.3295102753141137</v>
      </c>
      <c r="M622" s="194">
        <f>IF(H622=0,5.34,MIN((5.34+2.84*(G622/H622/I622^3)^(1/3))/((K622+1)^2),5.34))</f>
        <v>1.3563979013960836</v>
      </c>
    </row>
    <row r="623">
      <c r="A623" s="182">
        <f>A543</f>
        <v>101</v>
      </c>
      <c r="B623" s="131" t="str">
        <f>B463</f>
        <v>Negative</v>
      </c>
      <c r="C623" s="180">
        <f>INPUT!AF49</f>
        <v>160</v>
      </c>
      <c r="D623" s="180">
        <f>INPUT!AE49</f>
        <v>10</v>
      </c>
      <c r="E623" s="180">
        <f>INPUT!AI49</f>
        <v>0</v>
      </c>
      <c r="F623" s="180">
        <f>INPUT!AH49</f>
        <v>0</v>
      </c>
      <c r="G623" s="481">
        <f>IF(B623="Positive",1/3*F623*E623^3,1/3*D623*C623^3)</f>
        <v>13653333.333333332</v>
      </c>
      <c r="H623" s="199">
        <f>IF(B623="Positive",IF(E623=0,0,(F543-K623*F623)/(K623+1)),IF(C623=0,0,(C543-2*E543-K623*D623)/(K623+1)))</f>
        <v>558.7770783930888</v>
      </c>
      <c r="I623" s="199">
        <f>IF(B623="Positive",D383,E383)</f>
        <v>12</v>
      </c>
      <c r="J623" s="199">
        <f>IF(B623="Positive",H383,I383)</f>
        <v>1936.3312351792665</v>
      </c>
      <c r="K623" s="180">
        <f>IF(B623="Positive",INPUT!AG49,INPUT!AD49)</f>
        <v>2</v>
      </c>
      <c r="L623" s="131">
        <f>IF(H623=0,4,MIN(MAX((IF(K623=1,8,0.894)*G623/H623/I623^3)^(1/3),1),4))</f>
        <v>2.3295102753141137</v>
      </c>
      <c r="M623" s="194">
        <f>IF(H623=0,5.34,MIN((5.34+2.84*(G623/H623/I623^3)^(1/3))/((K623+1)^2),5.34))</f>
        <v>1.3563979013960836</v>
      </c>
    </row>
    <row r="624">
      <c r="A624" s="182">
        <f>A544</f>
        <v>101</v>
      </c>
      <c r="B624" s="131" t="str">
        <f>B464</f>
        <v>Negative</v>
      </c>
      <c r="C624" s="180">
        <f>INPUT!AF50</f>
        <v>160</v>
      </c>
      <c r="D624" s="180">
        <f>INPUT!AE50</f>
        <v>10</v>
      </c>
      <c r="E624" s="180">
        <f>INPUT!AI50</f>
        <v>0</v>
      </c>
      <c r="F624" s="180">
        <f>INPUT!AH50</f>
        <v>0</v>
      </c>
      <c r="G624" s="481">
        <f>IF(B624="Positive",1/3*F624*E624^3,1/3*D624*C624^3)</f>
        <v>13653333.333333332</v>
      </c>
      <c r="H624" s="199">
        <f>IF(B624="Positive",IF(E624=0,0,(F544-K624*F624)/(K624+1)),IF(C624=0,0,(C544-2*E544-K624*D624)/(K624+1)))</f>
        <v>558.7770783930888</v>
      </c>
      <c r="I624" s="199">
        <f>IF(B624="Positive",D384,E384)</f>
        <v>12</v>
      </c>
      <c r="J624" s="199">
        <f>IF(B624="Positive",H384,I384)</f>
        <v>1936.3312351792665</v>
      </c>
      <c r="K624" s="180">
        <f>IF(B624="Positive",INPUT!AG50,INPUT!AD50)</f>
        <v>2</v>
      </c>
      <c r="L624" s="131">
        <f>IF(H624=0,4,MIN(MAX((IF(K624=1,8,0.894)*G624/H624/I624^3)^(1/3),1),4))</f>
        <v>2.3295102753141137</v>
      </c>
      <c r="M624" s="194">
        <f>IF(H624=0,5.34,MIN((5.34+2.84*(G624/H624/I624^3)^(1/3))/((K624+1)^2),5.34))</f>
        <v>1.3563979013960836</v>
      </c>
    </row>
    <row r="625">
      <c r="A625" s="182">
        <f>A545</f>
        <v>101</v>
      </c>
      <c r="B625" s="131" t="str">
        <f>B465</f>
        <v>Negative</v>
      </c>
      <c r="C625" s="180">
        <f>INPUT!AF51</f>
        <v>160</v>
      </c>
      <c r="D625" s="180">
        <f>INPUT!AE51</f>
        <v>10</v>
      </c>
      <c r="E625" s="180">
        <f>INPUT!AI51</f>
        <v>0</v>
      </c>
      <c r="F625" s="180">
        <f>INPUT!AH51</f>
        <v>0</v>
      </c>
      <c r="G625" s="481">
        <f>IF(B625="Positive",1/3*F625*E625^3,1/3*D625*C625^3)</f>
        <v>13653333.333333332</v>
      </c>
      <c r="H625" s="199">
        <f>IF(B625="Positive",IF(E625=0,0,(F545-K625*F625)/(K625+1)),IF(C625=0,0,(C545-2*E545-K625*D625)/(K625+1)))</f>
        <v>558.7770783930888</v>
      </c>
      <c r="I625" s="199">
        <f>IF(B625="Positive",D385,E385)</f>
        <v>12</v>
      </c>
      <c r="J625" s="199">
        <f>IF(B625="Positive",H385,I385)</f>
        <v>1936.3312351792665</v>
      </c>
      <c r="K625" s="180">
        <f>IF(B625="Positive",INPUT!AG51,INPUT!AD51)</f>
        <v>2</v>
      </c>
      <c r="L625" s="131">
        <f>IF(H625=0,4,MIN(MAX((IF(K625=1,8,0.894)*G625/H625/I625^3)^(1/3),1),4))</f>
        <v>2.3295102753141137</v>
      </c>
      <c r="M625" s="194">
        <f>IF(H625=0,5.34,MIN((5.34+2.84*(G625/H625/I625^3)^(1/3))/((K625+1)^2),5.34))</f>
        <v>1.3563979013960836</v>
      </c>
    </row>
    <row r="626">
      <c r="A626" s="182">
        <f>A546</f>
        <v>101</v>
      </c>
      <c r="B626" s="131" t="str">
        <f>B466</f>
        <v>Negative</v>
      </c>
      <c r="C626" s="180">
        <f>INPUT!AF52</f>
        <v>160</v>
      </c>
      <c r="D626" s="180">
        <f>INPUT!AE52</f>
        <v>10</v>
      </c>
      <c r="E626" s="180">
        <f>INPUT!AI52</f>
        <v>0</v>
      </c>
      <c r="F626" s="180">
        <f>INPUT!AH52</f>
        <v>0</v>
      </c>
      <c r="G626" s="481">
        <f>IF(B626="Positive",1/3*F626*E626^3,1/3*D626*C626^3)</f>
        <v>13653333.333333332</v>
      </c>
      <c r="H626" s="199">
        <f>IF(B626="Positive",IF(E626=0,0,(F546-K626*F626)/(K626+1)),IF(C626=0,0,(C546-2*E546-K626*D626)/(K626+1)))</f>
        <v>558.7770783930888</v>
      </c>
      <c r="I626" s="199">
        <f>IF(B626="Positive",D386,E386)</f>
        <v>12</v>
      </c>
      <c r="J626" s="199">
        <f>IF(B626="Positive",H386,I386)</f>
        <v>1936.3312351792665</v>
      </c>
      <c r="K626" s="180">
        <f>IF(B626="Positive",INPUT!AG52,INPUT!AD52)</f>
        <v>2</v>
      </c>
      <c r="L626" s="131">
        <f>IF(H626=0,4,MIN(MAX((IF(K626=1,8,0.894)*G626/H626/I626^3)^(1/3),1),4))</f>
        <v>2.3295102753141137</v>
      </c>
      <c r="M626" s="194">
        <f>IF(H626=0,5.34,MIN((5.34+2.84*(G626/H626/I626^3)^(1/3))/((K626+1)^2),5.34))</f>
        <v>1.3563979013960836</v>
      </c>
    </row>
    <row r="627">
      <c r="A627" s="182">
        <f>A547</f>
        <v>101</v>
      </c>
      <c r="B627" s="131" t="str">
        <f>B467</f>
        <v>Negative</v>
      </c>
      <c r="C627" s="180">
        <f>INPUT!AF53</f>
        <v>160</v>
      </c>
      <c r="D627" s="180">
        <f>INPUT!AE53</f>
        <v>10</v>
      </c>
      <c r="E627" s="180">
        <f>INPUT!AI53</f>
        <v>0</v>
      </c>
      <c r="F627" s="180">
        <f>INPUT!AH53</f>
        <v>0</v>
      </c>
      <c r="G627" s="481">
        <f>IF(B627="Positive",1/3*F627*E627^3,1/3*D627*C627^3)</f>
        <v>13653333.333333332</v>
      </c>
      <c r="H627" s="199">
        <f>IF(B627="Positive",IF(E627=0,0,(F547-K627*F627)/(K627+1)),IF(C627=0,0,(C547-2*E547-K627*D627)/(K627+1)))</f>
        <v>558.7770783930888</v>
      </c>
      <c r="I627" s="199">
        <f>IF(B627="Positive",D387,E387)</f>
        <v>12</v>
      </c>
      <c r="J627" s="199">
        <f>IF(B627="Positive",H387,I387)</f>
        <v>1936.3312351792665</v>
      </c>
      <c r="K627" s="180">
        <f>IF(B627="Positive",INPUT!AG53,INPUT!AD53)</f>
        <v>2</v>
      </c>
      <c r="L627" s="131">
        <f>IF(H627=0,4,MIN(MAX((IF(K627=1,8,0.894)*G627/H627/I627^3)^(1/3),1),4))</f>
        <v>2.3295102753141137</v>
      </c>
      <c r="M627" s="194">
        <f>IF(H627=0,5.34,MIN((5.34+2.84*(G627/H627/I627^3)^(1/3))/((K627+1)^2),5.34))</f>
        <v>1.3563979013960836</v>
      </c>
    </row>
    <row r="628">
      <c r="A628" s="182">
        <f>A548</f>
        <v>101</v>
      </c>
      <c r="B628" s="131" t="str">
        <f>B468</f>
        <v>Negative</v>
      </c>
      <c r="C628" s="180">
        <f>INPUT!AF54</f>
        <v>160</v>
      </c>
      <c r="D628" s="180">
        <f>INPUT!AE54</f>
        <v>10</v>
      </c>
      <c r="E628" s="180">
        <f>INPUT!AI54</f>
        <v>0</v>
      </c>
      <c r="F628" s="180">
        <f>INPUT!AH54</f>
        <v>0</v>
      </c>
      <c r="G628" s="481">
        <f>IF(B628="Positive",1/3*F628*E628^3,1/3*D628*C628^3)</f>
        <v>13653333.333333332</v>
      </c>
      <c r="H628" s="199">
        <f>IF(B628="Positive",IF(E628=0,0,(F548-K628*F628)/(K628+1)),IF(C628=0,0,(C548-2*E548-K628*D628)/(K628+1)))</f>
        <v>558.7770783930888</v>
      </c>
      <c r="I628" s="199">
        <f>IF(B628="Positive",D388,E388)</f>
        <v>12</v>
      </c>
      <c r="J628" s="199">
        <f>IF(B628="Positive",H388,I388)</f>
        <v>1936.3312351792665</v>
      </c>
      <c r="K628" s="180">
        <f>IF(B628="Positive",INPUT!AG54,INPUT!AD54)</f>
        <v>2</v>
      </c>
      <c r="L628" s="131">
        <f>IF(H628=0,4,MIN(MAX((IF(K628=1,8,0.894)*G628/H628/I628^3)^(1/3),1),4))</f>
        <v>2.3295102753141137</v>
      </c>
      <c r="M628" s="194">
        <f>IF(H628=0,5.34,MIN((5.34+2.84*(G628/H628/I628^3)^(1/3))/((K628+1)^2),5.34))</f>
        <v>1.3563979013960836</v>
      </c>
    </row>
    <row r="629">
      <c r="A629" s="182">
        <f>A549</f>
        <v>101</v>
      </c>
      <c r="B629" s="131" t="str">
        <f>B469</f>
        <v>Negative</v>
      </c>
      <c r="C629" s="180">
        <f>INPUT!AF55</f>
        <v>160</v>
      </c>
      <c r="D629" s="180">
        <f>INPUT!AE55</f>
        <v>10</v>
      </c>
      <c r="E629" s="180">
        <f>INPUT!AI55</f>
        <v>0</v>
      </c>
      <c r="F629" s="180">
        <f>INPUT!AH55</f>
        <v>0</v>
      </c>
      <c r="G629" s="481">
        <f>IF(B629="Positive",1/3*F629*E629^3,1/3*D629*C629^3)</f>
        <v>13653333.333333332</v>
      </c>
      <c r="H629" s="199">
        <f>IF(B629="Positive",IF(E629=0,0,(F549-K629*F629)/(K629+1)),IF(C629=0,0,(C549-2*E549-K629*D629)/(K629+1)))</f>
        <v>558.7770783930888</v>
      </c>
      <c r="I629" s="199">
        <f>IF(B629="Positive",D389,E389)</f>
        <v>12</v>
      </c>
      <c r="J629" s="199">
        <f>IF(B629="Positive",H389,I389)</f>
        <v>1936.3312351792665</v>
      </c>
      <c r="K629" s="180">
        <f>IF(B629="Positive",INPUT!AG55,INPUT!AD55)</f>
        <v>2</v>
      </c>
      <c r="L629" s="131">
        <f>IF(H629=0,4,MIN(MAX((IF(K629=1,8,0.894)*G629/H629/I629^3)^(1/3),1),4))</f>
        <v>2.3295102753141137</v>
      </c>
      <c r="M629" s="194">
        <f>IF(H629=0,5.34,MIN((5.34+2.84*(G629/H629/I629^3)^(1/3))/((K629+1)^2),5.34))</f>
        <v>1.3563979013960836</v>
      </c>
    </row>
    <row r="630">
      <c r="A630" s="182">
        <f>A550</f>
        <v>101</v>
      </c>
      <c r="B630" s="131" t="str">
        <f>B470</f>
        <v>Negative</v>
      </c>
      <c r="C630" s="180">
        <f>INPUT!AF56</f>
        <v>160</v>
      </c>
      <c r="D630" s="180">
        <f>INPUT!AE56</f>
        <v>10</v>
      </c>
      <c r="E630" s="180">
        <f>INPUT!AI56</f>
        <v>0</v>
      </c>
      <c r="F630" s="180">
        <f>INPUT!AH56</f>
        <v>0</v>
      </c>
      <c r="G630" s="481">
        <f>IF(B630="Positive",1/3*F630*E630^3,1/3*D630*C630^3)</f>
        <v>13653333.333333332</v>
      </c>
      <c r="H630" s="199">
        <f>IF(B630="Positive",IF(E630=0,0,(F550-K630*F630)/(K630+1)),IF(C630=0,0,(C550-2*E550-K630*D630)/(K630+1)))</f>
        <v>558.7770783930888</v>
      </c>
      <c r="I630" s="199">
        <f>IF(B630="Positive",D390,E390)</f>
        <v>12</v>
      </c>
      <c r="J630" s="199">
        <f>IF(B630="Positive",H390,I390)</f>
        <v>1936.3312351792665</v>
      </c>
      <c r="K630" s="180">
        <f>IF(B630="Positive",INPUT!AG56,INPUT!AD56)</f>
        <v>2</v>
      </c>
      <c r="L630" s="131">
        <f>IF(H630=0,4,MIN(MAX((IF(K630=1,8,0.894)*G630/H630/I630^3)^(1/3),1),4))</f>
        <v>2.3295102753141137</v>
      </c>
      <c r="M630" s="194">
        <f>IF(H630=0,5.34,MIN((5.34+2.84*(G630/H630/I630^3)^(1/3))/((K630+1)^2),5.34))</f>
        <v>1.3563979013960836</v>
      </c>
    </row>
    <row r="631">
      <c r="A631" s="182">
        <f>A551</f>
        <v>101</v>
      </c>
      <c r="B631" s="131" t="str">
        <f>B471</f>
        <v>Negative</v>
      </c>
      <c r="C631" s="180">
        <f>INPUT!AF57</f>
        <v>160</v>
      </c>
      <c r="D631" s="180">
        <f>INPUT!AE57</f>
        <v>10</v>
      </c>
      <c r="E631" s="180">
        <f>INPUT!AI57</f>
        <v>0</v>
      </c>
      <c r="F631" s="180">
        <f>INPUT!AH57</f>
        <v>0</v>
      </c>
      <c r="G631" s="481">
        <f>IF(B631="Positive",1/3*F631*E631^3,1/3*D631*C631^3)</f>
        <v>13653333.333333332</v>
      </c>
      <c r="H631" s="199">
        <f>IF(B631="Positive",IF(E631=0,0,(F551-K631*F631)/(K631+1)),IF(C631=0,0,(C551-2*E551-K631*D631)/(K631+1)))</f>
        <v>558.7770783930888</v>
      </c>
      <c r="I631" s="199">
        <f>IF(B631="Positive",D391,E391)</f>
        <v>12</v>
      </c>
      <c r="J631" s="199">
        <f>IF(B631="Positive",H391,I391)</f>
        <v>1936.3312351792665</v>
      </c>
      <c r="K631" s="180">
        <f>IF(B631="Positive",INPUT!AG57,INPUT!AD57)</f>
        <v>2</v>
      </c>
      <c r="L631" s="131">
        <f>IF(H631=0,4,MIN(MAX((IF(K631=1,8,0.894)*G631/H631/I631^3)^(1/3),1),4))</f>
        <v>2.3295102753141137</v>
      </c>
      <c r="M631" s="194">
        <f>IF(H631=0,5.34,MIN((5.34+2.84*(G631/H631/I631^3)^(1/3))/((K631+1)^2),5.34))</f>
        <v>1.3563979013960836</v>
      </c>
    </row>
    <row r="632">
      <c r="A632" s="182">
        <f>A552</f>
        <v>101</v>
      </c>
      <c r="B632" s="131" t="str">
        <f>B472</f>
        <v>Negative</v>
      </c>
      <c r="C632" s="180">
        <f>INPUT!AF58</f>
        <v>160</v>
      </c>
      <c r="D632" s="180">
        <f>INPUT!AE58</f>
        <v>10</v>
      </c>
      <c r="E632" s="180">
        <f>INPUT!AI58</f>
        <v>0</v>
      </c>
      <c r="F632" s="180">
        <f>INPUT!AH58</f>
        <v>0</v>
      </c>
      <c r="G632" s="481">
        <f>IF(B632="Positive",1/3*F632*E632^3,1/3*D632*C632^3)</f>
        <v>13653333.333333332</v>
      </c>
      <c r="H632" s="199">
        <f>IF(B632="Positive",IF(E632=0,0,(F552-K632*F632)/(K632+1)),IF(C632=0,0,(C552-2*E552-K632*D632)/(K632+1)))</f>
        <v>558.7770783930888</v>
      </c>
      <c r="I632" s="199">
        <f>IF(B632="Positive",D392,E392)</f>
        <v>12</v>
      </c>
      <c r="J632" s="199">
        <f>IF(B632="Positive",H392,I392)</f>
        <v>1936.3312351792665</v>
      </c>
      <c r="K632" s="180">
        <f>IF(B632="Positive",INPUT!AG58,INPUT!AD58)</f>
        <v>2</v>
      </c>
      <c r="L632" s="131">
        <f>IF(H632=0,4,MIN(MAX((IF(K632=1,8,0.894)*G632/H632/I632^3)^(1/3),1),4))</f>
        <v>2.3295102753141137</v>
      </c>
      <c r="M632" s="194">
        <f>IF(H632=0,5.34,MIN((5.34+2.84*(G632/H632/I632^3)^(1/3))/((K632+1)^2),5.34))</f>
        <v>1.3563979013960836</v>
      </c>
    </row>
    <row r="633">
      <c r="A633" s="182">
        <f>A553</f>
        <v>101</v>
      </c>
      <c r="B633" s="131" t="str">
        <f>B473</f>
        <v>Negative</v>
      </c>
      <c r="C633" s="180">
        <f>INPUT!AF59</f>
        <v>160</v>
      </c>
      <c r="D633" s="180">
        <f>INPUT!AE59</f>
        <v>10</v>
      </c>
      <c r="E633" s="180">
        <f>INPUT!AI59</f>
        <v>0</v>
      </c>
      <c r="F633" s="180">
        <f>INPUT!AH59</f>
        <v>0</v>
      </c>
      <c r="G633" s="481">
        <f>IF(B633="Positive",1/3*F633*E633^3,1/3*D633*C633^3)</f>
        <v>13653333.333333332</v>
      </c>
      <c r="H633" s="199">
        <f>IF(B633="Positive",IF(E633=0,0,(F553-K633*F633)/(K633+1)),IF(C633=0,0,(C553-2*E553-K633*D633)/(K633+1)))</f>
        <v>558.7770783930888</v>
      </c>
      <c r="I633" s="199">
        <f>IF(B633="Positive",D393,E393)</f>
        <v>12</v>
      </c>
      <c r="J633" s="199">
        <f>IF(B633="Positive",H393,I393)</f>
        <v>1936.3312351792665</v>
      </c>
      <c r="K633" s="180">
        <f>IF(B633="Positive",INPUT!AG59,INPUT!AD59)</f>
        <v>2</v>
      </c>
      <c r="L633" s="131">
        <f>IF(H633=0,4,MIN(MAX((IF(K633=1,8,0.894)*G633/H633/I633^3)^(1/3),1),4))</f>
        <v>2.3295102753141137</v>
      </c>
      <c r="M633" s="194">
        <f>IF(H633=0,5.34,MIN((5.34+2.84*(G633/H633/I633^3)^(1/3))/((K633+1)^2),5.34))</f>
        <v>1.3563979013960836</v>
      </c>
    </row>
    <row r="634">
      <c r="A634" s="182">
        <f>A554</f>
        <v>101</v>
      </c>
      <c r="B634" s="131" t="str">
        <f>B474</f>
        <v>Negative</v>
      </c>
      <c r="C634" s="180">
        <f>INPUT!AF60</f>
        <v>160</v>
      </c>
      <c r="D634" s="180">
        <f>INPUT!AE60</f>
        <v>10</v>
      </c>
      <c r="E634" s="180">
        <f>INPUT!AI60</f>
        <v>0</v>
      </c>
      <c r="F634" s="180">
        <f>INPUT!AH60</f>
        <v>0</v>
      </c>
      <c r="G634" s="481">
        <f>IF(B634="Positive",1/3*F634*E634^3,1/3*D634*C634^3)</f>
        <v>13653333.333333332</v>
      </c>
      <c r="H634" s="199">
        <f>IF(B634="Positive",IF(E634=0,0,(F554-K634*F634)/(K634+1)),IF(C634=0,0,(C554-2*E554-K634*D634)/(K634+1)))</f>
        <v>558.7770783930888</v>
      </c>
      <c r="I634" s="199">
        <f>IF(B634="Positive",D394,E394)</f>
        <v>12</v>
      </c>
      <c r="J634" s="199">
        <f>IF(B634="Positive",H394,I394)</f>
        <v>1936.3312351792665</v>
      </c>
      <c r="K634" s="180">
        <f>IF(B634="Positive",INPUT!AG60,INPUT!AD60)</f>
        <v>2</v>
      </c>
      <c r="L634" s="131">
        <f>IF(H634=0,4,MIN(MAX((IF(K634=1,8,0.894)*G634/H634/I634^3)^(1/3),1),4))</f>
        <v>2.3295102753141137</v>
      </c>
      <c r="M634" s="194">
        <f>IF(H634=0,5.34,MIN((5.34+2.84*(G634/H634/I634^3)^(1/3))/((K634+1)^2),5.34))</f>
        <v>1.3563979013960836</v>
      </c>
    </row>
    <row r="635">
      <c r="A635" s="182">
        <f>A555</f>
        <v>101</v>
      </c>
      <c r="B635" s="131" t="str">
        <f>B475</f>
        <v>Negative</v>
      </c>
      <c r="C635" s="180">
        <f>INPUT!AF61</f>
        <v>160</v>
      </c>
      <c r="D635" s="180">
        <f>INPUT!AE61</f>
        <v>10</v>
      </c>
      <c r="E635" s="180">
        <f>INPUT!AI61</f>
        <v>0</v>
      </c>
      <c r="F635" s="180">
        <f>INPUT!AH61</f>
        <v>0</v>
      </c>
      <c r="G635" s="481">
        <f>IF(B635="Positive",1/3*F635*E635^3,1/3*D635*C635^3)</f>
        <v>13653333.333333332</v>
      </c>
      <c r="H635" s="199">
        <f>IF(B635="Positive",IF(E635=0,0,(F555-K635*F635)/(K635+1)),IF(C635=0,0,(C555-2*E555-K635*D635)/(K635+1)))</f>
        <v>558.7770783930888</v>
      </c>
      <c r="I635" s="199">
        <f>IF(B635="Positive",D395,E395)</f>
        <v>12</v>
      </c>
      <c r="J635" s="199">
        <f>IF(B635="Positive",H395,I395)</f>
        <v>1936.3312351792665</v>
      </c>
      <c r="K635" s="180">
        <f>IF(B635="Positive",INPUT!AG61,INPUT!AD61)</f>
        <v>2</v>
      </c>
      <c r="L635" s="131">
        <f>IF(H635=0,4,MIN(MAX((IF(K635=1,8,0.894)*G635/H635/I635^3)^(1/3),1),4))</f>
        <v>2.3295102753141137</v>
      </c>
      <c r="M635" s="194">
        <f>IF(H635=0,5.34,MIN((5.34+2.84*(G635/H635/I635^3)^(1/3))/((K635+1)^2),5.34))</f>
        <v>1.3563979013960836</v>
      </c>
    </row>
    <row r="636">
      <c r="A636" s="182">
        <f>A556</f>
        <v>101</v>
      </c>
      <c r="B636" s="131" t="str">
        <f>B476</f>
        <v>Negative</v>
      </c>
      <c r="C636" s="180">
        <f>INPUT!AF62</f>
        <v>160</v>
      </c>
      <c r="D636" s="180">
        <f>INPUT!AE62</f>
        <v>10</v>
      </c>
      <c r="E636" s="180">
        <f>INPUT!AI62</f>
        <v>0</v>
      </c>
      <c r="F636" s="180">
        <f>INPUT!AH62</f>
        <v>0</v>
      </c>
      <c r="G636" s="481">
        <f>IF(B636="Positive",1/3*F636*E636^3,1/3*D636*C636^3)</f>
        <v>13653333.333333332</v>
      </c>
      <c r="H636" s="199">
        <f>IF(B636="Positive",IF(E636=0,0,(F556-K636*F636)/(K636+1)),IF(C636=0,0,(C556-2*E556-K636*D636)/(K636+1)))</f>
        <v>558.7770783930888</v>
      </c>
      <c r="I636" s="199">
        <f>IF(B636="Positive",D396,E396)</f>
        <v>12</v>
      </c>
      <c r="J636" s="199">
        <f>IF(B636="Positive",H396,I396)</f>
        <v>1936.3312351792665</v>
      </c>
      <c r="K636" s="180">
        <f>IF(B636="Positive",INPUT!AG62,INPUT!AD62)</f>
        <v>2</v>
      </c>
      <c r="L636" s="131">
        <f>IF(H636=0,4,MIN(MAX((IF(K636=1,8,0.894)*G636/H636/I636^3)^(1/3),1),4))</f>
        <v>2.3295102753141137</v>
      </c>
      <c r="M636" s="194">
        <f>IF(H636=0,5.34,MIN((5.34+2.84*(G636/H636/I636^3)^(1/3))/((K636+1)^2),5.34))</f>
        <v>1.3563979013960836</v>
      </c>
    </row>
    <row r="637">
      <c r="A637" s="182">
        <f>A557</f>
        <v>101</v>
      </c>
      <c r="B637" s="131" t="str">
        <f>B477</f>
        <v>Negative</v>
      </c>
      <c r="C637" s="180">
        <f>INPUT!AF63</f>
        <v>160</v>
      </c>
      <c r="D637" s="180">
        <f>INPUT!AE63</f>
        <v>10</v>
      </c>
      <c r="E637" s="180">
        <f>INPUT!AI63</f>
        <v>0</v>
      </c>
      <c r="F637" s="180">
        <f>INPUT!AH63</f>
        <v>0</v>
      </c>
      <c r="G637" s="481">
        <f>IF(B637="Positive",1/3*F637*E637^3,1/3*D637*C637^3)</f>
        <v>13653333.333333332</v>
      </c>
      <c r="H637" s="199">
        <f>IF(B637="Positive",IF(E637=0,0,(F557-K637*F637)/(K637+1)),IF(C637=0,0,(C557-2*E557-K637*D637)/(K637+1)))</f>
        <v>558.7770783930888</v>
      </c>
      <c r="I637" s="199">
        <f>IF(B637="Positive",D397,E397)</f>
        <v>12</v>
      </c>
      <c r="J637" s="199">
        <f>IF(B637="Positive",H397,I397)</f>
        <v>1936.3312351792665</v>
      </c>
      <c r="K637" s="180">
        <f>IF(B637="Positive",INPUT!AG63,INPUT!AD63)</f>
        <v>2</v>
      </c>
      <c r="L637" s="131">
        <f>IF(H637=0,4,MIN(MAX((IF(K637=1,8,0.894)*G637/H637/I637^3)^(1/3),1),4))</f>
        <v>2.3295102753141137</v>
      </c>
      <c r="M637" s="194">
        <f>IF(H637=0,5.34,MIN((5.34+2.84*(G637/H637/I637^3)^(1/3))/((K637+1)^2),5.34))</f>
        <v>1.3563979013960836</v>
      </c>
    </row>
    <row r="638">
      <c r="A638" s="182">
        <f>A558</f>
        <v>101</v>
      </c>
      <c r="B638" s="131" t="str">
        <f>B478</f>
        <v>Negative</v>
      </c>
      <c r="C638" s="180">
        <f>INPUT!AF64</f>
        <v>160</v>
      </c>
      <c r="D638" s="180">
        <f>INPUT!AE64</f>
        <v>10</v>
      </c>
      <c r="E638" s="180">
        <f>INPUT!AI64</f>
        <v>0</v>
      </c>
      <c r="F638" s="180">
        <f>INPUT!AH64</f>
        <v>0</v>
      </c>
      <c r="G638" s="481">
        <f>IF(B638="Positive",1/3*F638*E638^3,1/3*D638*C638^3)</f>
        <v>13653333.333333332</v>
      </c>
      <c r="H638" s="199">
        <f>IF(B638="Positive",IF(E638=0,0,(F558-K638*F638)/(K638+1)),IF(C638=0,0,(C558-2*E558-K638*D638)/(K638+1)))</f>
        <v>558.7770783930888</v>
      </c>
      <c r="I638" s="199">
        <f>IF(B638="Positive",D398,E398)</f>
        <v>12</v>
      </c>
      <c r="J638" s="199">
        <f>IF(B638="Positive",H398,I398)</f>
        <v>1936.3312351792665</v>
      </c>
      <c r="K638" s="180">
        <f>IF(B638="Positive",INPUT!AG64,INPUT!AD64)</f>
        <v>2</v>
      </c>
      <c r="L638" s="131">
        <f>IF(H638=0,4,MIN(MAX((IF(K638=1,8,0.894)*G638/H638/I638^3)^(1/3),1),4))</f>
        <v>2.3295102753141137</v>
      </c>
      <c r="M638" s="194">
        <f>IF(H638=0,5.34,MIN((5.34+2.84*(G638/H638/I638^3)^(1/3))/((K638+1)^2),5.34))</f>
        <v>1.3563979013960836</v>
      </c>
    </row>
    <row r="639">
      <c r="A639" s="182">
        <f>A559</f>
        <v>101</v>
      </c>
      <c r="B639" s="131" t="str">
        <f>B479</f>
        <v>Negative</v>
      </c>
      <c r="C639" s="180">
        <f>INPUT!AF65</f>
        <v>160</v>
      </c>
      <c r="D639" s="180">
        <f>INPUT!AE65</f>
        <v>10</v>
      </c>
      <c r="E639" s="180">
        <f>INPUT!AI65</f>
        <v>0</v>
      </c>
      <c r="F639" s="180">
        <f>INPUT!AH65</f>
        <v>0</v>
      </c>
      <c r="G639" s="481">
        <f>IF(B639="Positive",1/3*F639*E639^3,1/3*D639*C639^3)</f>
        <v>13653333.333333332</v>
      </c>
      <c r="H639" s="199">
        <f>IF(B639="Positive",IF(E639=0,0,(F559-K639*F639)/(K639+1)),IF(C639=0,0,(C559-2*E559-K639*D639)/(K639+1)))</f>
        <v>558.7770783930888</v>
      </c>
      <c r="I639" s="199">
        <f>IF(B639="Positive",D399,E399)</f>
        <v>12</v>
      </c>
      <c r="J639" s="199">
        <f>IF(B639="Positive",H399,I399)</f>
        <v>1936.3312351792665</v>
      </c>
      <c r="K639" s="180">
        <f>IF(B639="Positive",INPUT!AG65,INPUT!AD65)</f>
        <v>2</v>
      </c>
      <c r="L639" s="131">
        <f>IF(H639=0,4,MIN(MAX((IF(K639=1,8,0.894)*G639/H639/I639^3)^(1/3),1),4))</f>
        <v>2.3295102753141137</v>
      </c>
      <c r="M639" s="194">
        <f>IF(H639=0,5.34,MIN((5.34+2.84*(G639/H639/I639^3)^(1/3))/((K639+1)^2),5.34))</f>
        <v>1.3563979013960836</v>
      </c>
    </row>
    <row r="640">
      <c r="A640" s="182">
        <f>A560</f>
        <v>101</v>
      </c>
      <c r="B640" s="131" t="str">
        <f>B480</f>
        <v>Negative</v>
      </c>
      <c r="C640" s="180">
        <f>INPUT!AF66</f>
        <v>160</v>
      </c>
      <c r="D640" s="180">
        <f>INPUT!AE66</f>
        <v>10</v>
      </c>
      <c r="E640" s="180">
        <f>INPUT!AI66</f>
        <v>0</v>
      </c>
      <c r="F640" s="180">
        <f>INPUT!AH66</f>
        <v>0</v>
      </c>
      <c r="G640" s="481">
        <f>IF(B640="Positive",1/3*F640*E640^3,1/3*D640*C640^3)</f>
        <v>13653333.333333332</v>
      </c>
      <c r="H640" s="199">
        <f>IF(B640="Positive",IF(E640=0,0,(F560-K640*F640)/(K640+1)),IF(C640=0,0,(C560-2*E560-K640*D640)/(K640+1)))</f>
        <v>558.7770783930888</v>
      </c>
      <c r="I640" s="199">
        <f>IF(B640="Positive",D400,E400)</f>
        <v>12</v>
      </c>
      <c r="J640" s="199">
        <f>IF(B640="Positive",H400,I400)</f>
        <v>1936.3312351792665</v>
      </c>
      <c r="K640" s="180">
        <f>IF(B640="Positive",INPUT!AG66,INPUT!AD66)</f>
        <v>2</v>
      </c>
      <c r="L640" s="131">
        <f>IF(H640=0,4,MIN(MAX((IF(K640=1,8,0.894)*G640/H640/I640^3)^(1/3),1),4))</f>
        <v>2.3295102753141137</v>
      </c>
      <c r="M640" s="194">
        <f>IF(H640=0,5.34,MIN((5.34+2.84*(G640/H640/I640^3)^(1/3))/((K640+1)^2),5.34))</f>
        <v>1.3563979013960836</v>
      </c>
    </row>
    <row r="641">
      <c r="A641" s="182">
        <f>A561</f>
        <v>101</v>
      </c>
      <c r="B641" s="131" t="str">
        <f>B481</f>
        <v>Negative</v>
      </c>
      <c r="C641" s="180">
        <f>INPUT!AF67</f>
        <v>160</v>
      </c>
      <c r="D641" s="180">
        <f>INPUT!AE67</f>
        <v>10</v>
      </c>
      <c r="E641" s="180">
        <f>INPUT!AI67</f>
        <v>0</v>
      </c>
      <c r="F641" s="180">
        <f>INPUT!AH67</f>
        <v>0</v>
      </c>
      <c r="G641" s="481">
        <f>IF(B641="Positive",1/3*F641*E641^3,1/3*D641*C641^3)</f>
        <v>13653333.333333332</v>
      </c>
      <c r="H641" s="199">
        <f>IF(B641="Positive",IF(E641=0,0,(F561-K641*F641)/(K641+1)),IF(C641=0,0,(C561-2*E561-K641*D641)/(K641+1)))</f>
        <v>558.7770783930888</v>
      </c>
      <c r="I641" s="199">
        <f>IF(B641="Positive",D401,E401)</f>
        <v>12</v>
      </c>
      <c r="J641" s="199">
        <f>IF(B641="Positive",H401,I401)</f>
        <v>1936.3312351792665</v>
      </c>
      <c r="K641" s="180">
        <f>IF(B641="Positive",INPUT!AG67,INPUT!AD67)</f>
        <v>2</v>
      </c>
      <c r="L641" s="131">
        <f>IF(H641=0,4,MIN(MAX((IF(K641=1,8,0.894)*G641/H641/I641^3)^(1/3),1),4))</f>
        <v>2.3295102753141137</v>
      </c>
      <c r="M641" s="194">
        <f>IF(H641=0,5.34,MIN((5.34+2.84*(G641/H641/I641^3)^(1/3))/((K641+1)^2),5.34))</f>
        <v>1.3563979013960836</v>
      </c>
    </row>
    <row r="642">
      <c r="A642" s="182">
        <f>A562</f>
        <v>101</v>
      </c>
      <c r="B642" s="131" t="str">
        <f>B482</f>
        <v>Negative</v>
      </c>
      <c r="C642" s="180">
        <f>INPUT!AF68</f>
        <v>160</v>
      </c>
      <c r="D642" s="180">
        <f>INPUT!AE68</f>
        <v>10</v>
      </c>
      <c r="E642" s="180">
        <f>INPUT!AI68</f>
        <v>0</v>
      </c>
      <c r="F642" s="180">
        <f>INPUT!AH68</f>
        <v>0</v>
      </c>
      <c r="G642" s="481">
        <f>IF(B642="Positive",1/3*F642*E642^3,1/3*D642*C642^3)</f>
        <v>13653333.333333332</v>
      </c>
      <c r="H642" s="199">
        <f>IF(B642="Positive",IF(E642=0,0,(F562-K642*F642)/(K642+1)),IF(C642=0,0,(C562-2*E562-K642*D642)/(K642+1)))</f>
        <v>558.7770783930888</v>
      </c>
      <c r="I642" s="199">
        <f>IF(B642="Positive",D402,E402)</f>
        <v>12</v>
      </c>
      <c r="J642" s="199">
        <f>IF(B642="Positive",H402,I402)</f>
        <v>1936.3312351792665</v>
      </c>
      <c r="K642" s="180">
        <f>IF(B642="Positive",INPUT!AG68,INPUT!AD68)</f>
        <v>2</v>
      </c>
      <c r="L642" s="131">
        <f>IF(H642=0,4,MIN(MAX((IF(K642=1,8,0.894)*G642/H642/I642^3)^(1/3),1),4))</f>
        <v>2.3295102753141137</v>
      </c>
      <c r="M642" s="194">
        <f>IF(H642=0,5.34,MIN((5.34+2.84*(G642/H642/I642^3)^(1/3))/((K642+1)^2),5.34))</f>
        <v>1.3563979013960836</v>
      </c>
    </row>
    <row r="643">
      <c r="A643" s="182">
        <f>A563</f>
        <v>101</v>
      </c>
      <c r="B643" s="131" t="str">
        <f>B483</f>
        <v>Negative</v>
      </c>
      <c r="C643" s="180">
        <f>INPUT!AF69</f>
        <v>160</v>
      </c>
      <c r="D643" s="180">
        <f>INPUT!AE69</f>
        <v>10</v>
      </c>
      <c r="E643" s="180">
        <f>INPUT!AI69</f>
        <v>0</v>
      </c>
      <c r="F643" s="180">
        <f>INPUT!AH69</f>
        <v>0</v>
      </c>
      <c r="G643" s="481">
        <f>IF(B643="Positive",1/3*F643*E643^3,1/3*D643*C643^3)</f>
        <v>13653333.333333332</v>
      </c>
      <c r="H643" s="199">
        <f>IF(B643="Positive",IF(E643=0,0,(F563-K643*F643)/(K643+1)),IF(C643=0,0,(C563-2*E563-K643*D643)/(K643+1)))</f>
        <v>558.7770783930888</v>
      </c>
      <c r="I643" s="199">
        <f>IF(B643="Positive",D403,E403)</f>
        <v>12</v>
      </c>
      <c r="J643" s="199">
        <f>IF(B643="Positive",H403,I403)</f>
        <v>1936.3312351792665</v>
      </c>
      <c r="K643" s="180">
        <f>IF(B643="Positive",INPUT!AG69,INPUT!AD69)</f>
        <v>2</v>
      </c>
      <c r="L643" s="131">
        <f>IF(H643=0,4,MIN(MAX((IF(K643=1,8,0.894)*G643/H643/I643^3)^(1/3),1),4))</f>
        <v>2.3295102753141137</v>
      </c>
      <c r="M643" s="194">
        <f>IF(H643=0,5.34,MIN((5.34+2.84*(G643/H643/I643^3)^(1/3))/((K643+1)^2),5.34))</f>
        <v>1.3563979013960836</v>
      </c>
    </row>
    <row r="644">
      <c r="A644" s="182">
        <f>A564</f>
        <v>101</v>
      </c>
      <c r="B644" s="131" t="str">
        <f>B484</f>
        <v>Negative</v>
      </c>
      <c r="C644" s="180">
        <f>INPUT!AF70</f>
        <v>160</v>
      </c>
      <c r="D644" s="180">
        <f>INPUT!AE70</f>
        <v>10</v>
      </c>
      <c r="E644" s="180">
        <f>INPUT!AI70</f>
        <v>0</v>
      </c>
      <c r="F644" s="180">
        <f>INPUT!AH70</f>
        <v>0</v>
      </c>
      <c r="G644" s="481">
        <f>IF(B644="Positive",1/3*F644*E644^3,1/3*D644*C644^3)</f>
        <v>13653333.333333332</v>
      </c>
      <c r="H644" s="199">
        <f>IF(B644="Positive",IF(E644=0,0,(F564-K644*F644)/(K644+1)),IF(C644=0,0,(C564-2*E564-K644*D644)/(K644+1)))</f>
        <v>558.7770783930888</v>
      </c>
      <c r="I644" s="199">
        <f>IF(B644="Positive",D404,E404)</f>
        <v>12</v>
      </c>
      <c r="J644" s="199">
        <f>IF(B644="Positive",H404,I404)</f>
        <v>1936.3312351792665</v>
      </c>
      <c r="K644" s="180">
        <f>IF(B644="Positive",INPUT!AG70,INPUT!AD70)</f>
        <v>2</v>
      </c>
      <c r="L644" s="131">
        <f>IF(H644=0,4,MIN(MAX((IF(K644=1,8,0.894)*G644/H644/I644^3)^(1/3),1),4))</f>
        <v>2.3295102753141137</v>
      </c>
      <c r="M644" s="194">
        <f>IF(H644=0,5.34,MIN((5.34+2.84*(G644/H644/I644^3)^(1/3))/((K644+1)^2),5.34))</f>
        <v>1.3563979013960836</v>
      </c>
    </row>
    <row r="645">
      <c r="A645" s="182">
        <f>A565</f>
        <v>101</v>
      </c>
      <c r="B645" s="131" t="str">
        <f>B485</f>
        <v>Negative</v>
      </c>
      <c r="C645" s="180">
        <f>INPUT!AF71</f>
        <v>160</v>
      </c>
      <c r="D645" s="180">
        <f>INPUT!AE71</f>
        <v>10</v>
      </c>
      <c r="E645" s="180">
        <f>INPUT!AI71</f>
        <v>0</v>
      </c>
      <c r="F645" s="180">
        <f>INPUT!AH71</f>
        <v>0</v>
      </c>
      <c r="G645" s="481">
        <f>IF(B645="Positive",1/3*F645*E645^3,1/3*D645*C645^3)</f>
        <v>13653333.333333332</v>
      </c>
      <c r="H645" s="199">
        <f>IF(B645="Positive",IF(E645=0,0,(F565-K645*F645)/(K645+1)),IF(C645=0,0,(C565-2*E565-K645*D645)/(K645+1)))</f>
        <v>558.7770783930888</v>
      </c>
      <c r="I645" s="199">
        <f>IF(B645="Positive",D405,E405)</f>
        <v>12</v>
      </c>
      <c r="J645" s="199">
        <f>IF(B645="Positive",H405,I405)</f>
        <v>1936.3312351792665</v>
      </c>
      <c r="K645" s="180">
        <f>IF(B645="Positive",INPUT!AG71,INPUT!AD71)</f>
        <v>2</v>
      </c>
      <c r="L645" s="131">
        <f>IF(H645=0,4,MIN(MAX((IF(K645=1,8,0.894)*G645/H645/I645^3)^(1/3),1),4))</f>
        <v>2.3295102753141137</v>
      </c>
      <c r="M645" s="194">
        <f>IF(H645=0,5.34,MIN((5.34+2.84*(G645/H645/I645^3)^(1/3))/((K645+1)^2),5.34))</f>
        <v>1.3563979013960836</v>
      </c>
    </row>
    <row r="646">
      <c r="A646" s="182">
        <f>A566</f>
        <v>101</v>
      </c>
      <c r="B646" s="131" t="str">
        <f>B486</f>
        <v>Negative</v>
      </c>
      <c r="C646" s="180">
        <f>INPUT!AF72</f>
        <v>160</v>
      </c>
      <c r="D646" s="180">
        <f>INPUT!AE72</f>
        <v>10</v>
      </c>
      <c r="E646" s="180">
        <f>INPUT!AI72</f>
        <v>0</v>
      </c>
      <c r="F646" s="180">
        <f>INPUT!AH72</f>
        <v>0</v>
      </c>
      <c r="G646" s="481">
        <f>IF(B646="Positive",1/3*F646*E646^3,1/3*D646*C646^3)</f>
        <v>13653333.333333332</v>
      </c>
      <c r="H646" s="199">
        <f>IF(B646="Positive",IF(E646=0,0,(F566-K646*F646)/(K646+1)),IF(C646=0,0,(C566-2*E566-K646*D646)/(K646+1)))</f>
        <v>558.7770783930888</v>
      </c>
      <c r="I646" s="199">
        <f>IF(B646="Positive",D406,E406)</f>
        <v>12</v>
      </c>
      <c r="J646" s="199">
        <f>IF(B646="Positive",H406,I406)</f>
        <v>1936.3312351792665</v>
      </c>
      <c r="K646" s="180">
        <f>IF(B646="Positive",INPUT!AG72,INPUT!AD72)</f>
        <v>2</v>
      </c>
      <c r="L646" s="131">
        <f>IF(H646=0,4,MIN(MAX((IF(K646=1,8,0.894)*G646/H646/I646^3)^(1/3),1),4))</f>
        <v>2.3295102753141137</v>
      </c>
      <c r="M646" s="194">
        <f>IF(H646=0,5.34,MIN((5.34+2.84*(G646/H646/I646^3)^(1/3))/((K646+1)^2),5.34))</f>
        <v>1.3563979013960836</v>
      </c>
    </row>
    <row r="647">
      <c r="A647" s="182">
        <f>A567</f>
        <v>101</v>
      </c>
      <c r="B647" s="131" t="str">
        <f>B487</f>
        <v>Negative</v>
      </c>
      <c r="C647" s="180">
        <f>INPUT!AF73</f>
        <v>160</v>
      </c>
      <c r="D647" s="180">
        <f>INPUT!AE73</f>
        <v>10</v>
      </c>
      <c r="E647" s="180">
        <f>INPUT!AI73</f>
        <v>0</v>
      </c>
      <c r="F647" s="180">
        <f>INPUT!AH73</f>
        <v>0</v>
      </c>
      <c r="G647" s="481">
        <f>IF(B647="Positive",1/3*F647*E647^3,1/3*D647*C647^3)</f>
        <v>13653333.333333332</v>
      </c>
      <c r="H647" s="199">
        <f>IF(B647="Positive",IF(E647=0,0,(F567-K647*F647)/(K647+1)),IF(C647=0,0,(C567-2*E567-K647*D647)/(K647+1)))</f>
        <v>558.7770783930888</v>
      </c>
      <c r="I647" s="199">
        <f>IF(B647="Positive",D407,E407)</f>
        <v>12</v>
      </c>
      <c r="J647" s="199">
        <f>IF(B647="Positive",H407,I407)</f>
        <v>1936.3312351792665</v>
      </c>
      <c r="K647" s="180">
        <f>IF(B647="Positive",INPUT!AG73,INPUT!AD73)</f>
        <v>2</v>
      </c>
      <c r="L647" s="131">
        <f>IF(H647=0,4,MIN(MAX((IF(K647=1,8,0.894)*G647/H647/I647^3)^(1/3),1),4))</f>
        <v>2.3295102753141137</v>
      </c>
      <c r="M647" s="194">
        <f>IF(H647=0,5.34,MIN((5.34+2.84*(G647/H647/I647^3)^(1/3))/((K647+1)^2),5.34))</f>
        <v>1.3563979013960836</v>
      </c>
    </row>
    <row r="648">
      <c r="A648" s="182">
        <f>A568</f>
        <v>101</v>
      </c>
      <c r="B648" s="131" t="str">
        <f>B488</f>
        <v>Negative</v>
      </c>
      <c r="C648" s="180">
        <f>INPUT!AF74</f>
        <v>160</v>
      </c>
      <c r="D648" s="180">
        <f>INPUT!AE74</f>
        <v>10</v>
      </c>
      <c r="E648" s="180">
        <f>INPUT!AI74</f>
        <v>0</v>
      </c>
      <c r="F648" s="180">
        <f>INPUT!AH74</f>
        <v>0</v>
      </c>
      <c r="G648" s="481">
        <f>IF(B648="Positive",1/3*F648*E648^3,1/3*D648*C648^3)</f>
        <v>13653333.333333332</v>
      </c>
      <c r="H648" s="199">
        <f>IF(B648="Positive",IF(E648=0,0,(F568-K648*F648)/(K648+1)),IF(C648=0,0,(C568-2*E568-K648*D648)/(K648+1)))</f>
        <v>558.7770783930888</v>
      </c>
      <c r="I648" s="199">
        <f>IF(B648="Positive",D408,E408)</f>
        <v>12</v>
      </c>
      <c r="J648" s="199">
        <f>IF(B648="Positive",H408,I408)</f>
        <v>1936.3312351792665</v>
      </c>
      <c r="K648" s="180">
        <f>IF(B648="Positive",INPUT!AG74,INPUT!AD74)</f>
        <v>2</v>
      </c>
      <c r="L648" s="131">
        <f>IF(H648=0,4,MIN(MAX((IF(K648=1,8,0.894)*G648/H648/I648^3)^(1/3),1),4))</f>
        <v>2.3295102753141137</v>
      </c>
      <c r="M648" s="194">
        <f>IF(H648=0,5.34,MIN((5.34+2.84*(G648/H648/I648^3)^(1/3))/((K648+1)^2),5.34))</f>
        <v>1.3563979013960836</v>
      </c>
    </row>
    <row r="649">
      <c r="A649" s="182">
        <f>A569</f>
        <v>101</v>
      </c>
      <c r="B649" s="131" t="str">
        <f>B489</f>
        <v>Negative</v>
      </c>
      <c r="C649" s="180">
        <f>INPUT!AF75</f>
        <v>160</v>
      </c>
      <c r="D649" s="180">
        <f>INPUT!AE75</f>
        <v>10</v>
      </c>
      <c r="E649" s="180">
        <f>INPUT!AI75</f>
        <v>0</v>
      </c>
      <c r="F649" s="180">
        <f>INPUT!AH75</f>
        <v>0</v>
      </c>
      <c r="G649" s="481">
        <f>IF(B649="Positive",1/3*F649*E649^3,1/3*D649*C649^3)</f>
        <v>13653333.333333332</v>
      </c>
      <c r="H649" s="199">
        <f>IF(B649="Positive",IF(E649=0,0,(F569-K649*F649)/(K649+1)),IF(C649=0,0,(C569-2*E569-K649*D649)/(K649+1)))</f>
        <v>558.7770783930888</v>
      </c>
      <c r="I649" s="199">
        <f>IF(B649="Positive",D409,E409)</f>
        <v>12</v>
      </c>
      <c r="J649" s="199">
        <f>IF(B649="Positive",H409,I409)</f>
        <v>1936.3312351792665</v>
      </c>
      <c r="K649" s="180">
        <f>IF(B649="Positive",INPUT!AG75,INPUT!AD75)</f>
        <v>2</v>
      </c>
      <c r="L649" s="131">
        <f>IF(H649=0,4,MIN(MAX((IF(K649=1,8,0.894)*G649/H649/I649^3)^(1/3),1),4))</f>
        <v>2.3295102753141137</v>
      </c>
      <c r="M649" s="194">
        <f>IF(H649=0,5.34,MIN((5.34+2.84*(G649/H649/I649^3)^(1/3))/((K649+1)^2),5.34))</f>
        <v>1.3563979013960836</v>
      </c>
    </row>
    <row r="650">
      <c r="A650" s="182">
        <f>A570</f>
        <v>101</v>
      </c>
      <c r="B650" s="131" t="str">
        <f>B490</f>
        <v>Negative</v>
      </c>
      <c r="C650" s="180">
        <f>INPUT!AF76</f>
        <v>160</v>
      </c>
      <c r="D650" s="180">
        <f>INPUT!AE76</f>
        <v>10</v>
      </c>
      <c r="E650" s="180">
        <f>INPUT!AI76</f>
        <v>0</v>
      </c>
      <c r="F650" s="180">
        <f>INPUT!AH76</f>
        <v>0</v>
      </c>
      <c r="G650" s="481">
        <f>IF(B650="Positive",1/3*F650*E650^3,1/3*D650*C650^3)</f>
        <v>13653333.333333332</v>
      </c>
      <c r="H650" s="199">
        <f>IF(B650="Positive",IF(E650=0,0,(F570-K650*F650)/(K650+1)),IF(C650=0,0,(C570-2*E570-K650*D650)/(K650+1)))</f>
        <v>558.7770783930888</v>
      </c>
      <c r="I650" s="199">
        <f>IF(B650="Positive",D410,E410)</f>
        <v>12</v>
      </c>
      <c r="J650" s="199">
        <f>IF(B650="Positive",H410,I410)</f>
        <v>1936.3312351792665</v>
      </c>
      <c r="K650" s="180">
        <f>IF(B650="Positive",INPUT!AG76,INPUT!AD76)</f>
        <v>2</v>
      </c>
      <c r="L650" s="131">
        <f>IF(H650=0,4,MIN(MAX((IF(K650=1,8,0.894)*G650/H650/I650^3)^(1/3),1),4))</f>
        <v>2.3295102753141137</v>
      </c>
      <c r="M650" s="194">
        <f>IF(H650=0,5.34,MIN((5.34+2.84*(G650/H650/I650^3)^(1/3))/((K650+1)^2),5.34))</f>
        <v>1.3563979013960836</v>
      </c>
    </row>
    <row r="651">
      <c r="A651" s="182">
        <f>A571</f>
        <v>101</v>
      </c>
      <c r="B651" s="131" t="str">
        <f>B491</f>
        <v>Negative</v>
      </c>
      <c r="C651" s="180">
        <f>INPUT!AF77</f>
        <v>160</v>
      </c>
      <c r="D651" s="180">
        <f>INPUT!AE77</f>
        <v>10</v>
      </c>
      <c r="E651" s="180">
        <f>INPUT!AI77</f>
        <v>0</v>
      </c>
      <c r="F651" s="180">
        <f>INPUT!AH77</f>
        <v>0</v>
      </c>
      <c r="G651" s="481">
        <f>IF(B651="Positive",1/3*F651*E651^3,1/3*D651*C651^3)</f>
        <v>13653333.333333332</v>
      </c>
      <c r="H651" s="199">
        <f>IF(B651="Positive",IF(E651=0,0,(F571-K651*F651)/(K651+1)),IF(C651=0,0,(C571-2*E571-K651*D651)/(K651+1)))</f>
        <v>558.7770783930888</v>
      </c>
      <c r="I651" s="199">
        <f>IF(B651="Positive",D411,E411)</f>
        <v>12</v>
      </c>
      <c r="J651" s="199">
        <f>IF(B651="Positive",H411,I411)</f>
        <v>1936.3312351792665</v>
      </c>
      <c r="K651" s="180">
        <f>IF(B651="Positive",INPUT!AG77,INPUT!AD77)</f>
        <v>2</v>
      </c>
      <c r="L651" s="131">
        <f>IF(H651=0,4,MIN(MAX((IF(K651=1,8,0.894)*G651/H651/I651^3)^(1/3),1),4))</f>
        <v>2.3295102753141137</v>
      </c>
      <c r="M651" s="194">
        <f>IF(H651=0,5.34,MIN((5.34+2.84*(G651/H651/I651^3)^(1/3))/((K651+1)^2),5.34))</f>
        <v>1.3563979013960836</v>
      </c>
    </row>
    <row r="652">
      <c r="A652" s="182">
        <f>A572</f>
        <v>101</v>
      </c>
      <c r="B652" s="131" t="str">
        <f>B492</f>
        <v>Negative</v>
      </c>
      <c r="C652" s="180">
        <f>INPUT!AF78</f>
        <v>160</v>
      </c>
      <c r="D652" s="180">
        <f>INPUT!AE78</f>
        <v>10</v>
      </c>
      <c r="E652" s="180">
        <f>INPUT!AI78</f>
        <v>0</v>
      </c>
      <c r="F652" s="180">
        <f>INPUT!AH78</f>
        <v>0</v>
      </c>
      <c r="G652" s="481">
        <f>IF(B652="Positive",1/3*F652*E652^3,1/3*D652*C652^3)</f>
        <v>13653333.333333332</v>
      </c>
      <c r="H652" s="199">
        <f>IF(B652="Positive",IF(E652=0,0,(F572-K652*F652)/(K652+1)),IF(C652=0,0,(C572-2*E572-K652*D652)/(K652+1)))</f>
        <v>558.7770783930888</v>
      </c>
      <c r="I652" s="199">
        <f>IF(B652="Positive",D412,E412)</f>
        <v>12</v>
      </c>
      <c r="J652" s="199">
        <f>IF(B652="Positive",H412,I412)</f>
        <v>1936.3312351792665</v>
      </c>
      <c r="K652" s="180">
        <f>IF(B652="Positive",INPUT!AG78,INPUT!AD78)</f>
        <v>2</v>
      </c>
      <c r="L652" s="131">
        <f>IF(H652=0,4,MIN(MAX((IF(K652=1,8,0.894)*G652/H652/I652^3)^(1/3),1),4))</f>
        <v>2.3295102753141137</v>
      </c>
      <c r="M652" s="194">
        <f>IF(H652=0,5.34,MIN((5.34+2.84*(G652/H652/I652^3)^(1/3))/((K652+1)^2),5.34))</f>
        <v>1.3563979013960836</v>
      </c>
    </row>
    <row r="653"/>
    <row r="654" ht="15" customHeight="1">
      <c r="A654" s="59" t="s">
        <v>399</v>
      </c>
      <c r="B654" s="133"/>
      <c r="C654" s="132"/>
      <c r="D654" s="109"/>
      <c r="E654" s="132"/>
      <c r="F654" s="133"/>
      <c r="G654" s="133"/>
      <c r="H654" s="134"/>
      <c r="I654" s="132"/>
      <c r="J654" s="4"/>
      <c r="K654" s="4"/>
    </row>
    <row r="655" ht="15" customHeight="1">
      <c r="A655" s="72" t="s">
        <v>230</v>
      </c>
      <c r="B655" s="78" t="s">
        <v>242</v>
      </c>
      <c r="C655" s="73" t="s">
        <v>364</v>
      </c>
      <c r="D655" s="494" t="s">
        <v>400</v>
      </c>
      <c r="E655" s="498"/>
      <c r="F655" s="498"/>
      <c r="G655" s="495"/>
      <c r="H655" s="73" t="s">
        <v>401</v>
      </c>
      <c r="I655" s="73" t="s">
        <v>402</v>
      </c>
      <c r="J655" s="74" t="s">
        <v>367</v>
      </c>
      <c r="M655" s="67"/>
    </row>
    <row r="656" ht="15" customHeight="1">
      <c r="A656" s="75"/>
      <c r="B656" s="79" t="s">
        <v>250</v>
      </c>
      <c r="C656" s="76"/>
      <c r="D656" s="76" t="s">
        <v>368</v>
      </c>
      <c r="E656" s="76" t="s">
        <v>403</v>
      </c>
      <c r="F656" s="76" t="s">
        <v>404</v>
      </c>
      <c r="G656" s="76" t="s">
        <v>405</v>
      </c>
      <c r="H656" s="76"/>
      <c r="I656" s="76"/>
      <c r="J656" s="77" t="s">
        <v>406</v>
      </c>
      <c r="M656" s="67"/>
    </row>
    <row r="657" ht="15" customHeight="1">
      <c r="A657" s="182">
        <f>A577</f>
        <v>101</v>
      </c>
      <c r="B657" s="131" t="str">
        <f>B577</f>
        <v>Negative</v>
      </c>
      <c r="C657" s="195" t="str">
        <f>C417</f>
        <v>BF</v>
      </c>
      <c r="D657" s="131">
        <f>IF(K577=0,J577,H577)/I577</f>
        <v>46.5647565327574</v>
      </c>
      <c r="E657" s="131">
        <f>0.95*SQRT(INPUT!$B$2*L577/(M497-0.3)/INPUT!AO3)</f>
        <v>0</v>
      </c>
      <c r="F657" s="131">
        <f>0.57*SQRT(INPUT!$B$2*L577/INPUT!AO3/M497)</f>
        <v>0</v>
      </c>
      <c r="G657" s="131">
        <f>IF(D657&lt;=F657,1*N337*INPUT!AO3*M497,IF(D657&lt;=E657,1*N337*INPUT!AO3*(M497-(M497-(M497-0.3)/N337)*((D657-F657)/(E657-F657))),0.9*INPUT!$B$2*1*L577/D657/D657))</f>
        <v>0</v>
      </c>
      <c r="H657" s="131">
        <f>IF(D657&lt;=1.12*SQRT(INPUT!$B$2*M577/INPUT!AO3),0.58*INPUT!AO3,IF(D657&lt;=1.4*SQRT(INPUT!$B$2*M577/INPUT!AO3),0.65*SQRT(INPUT!AO3*INPUT!$B$2*M577)/D657,0.9*INPUT!$B$2*M577/D657/D657))</f>
        <v>0</v>
      </c>
      <c r="I657" s="131">
        <f>L497</f>
        <v>-0.44053693654699411</v>
      </c>
      <c r="J657" s="454" t="e">
        <f>IF(C657="OF","OF",G657*SQRT(1-(I657/H657)^2))</f>
        <v>#DIV/0!</v>
      </c>
      <c r="M657" s="67"/>
    </row>
    <row r="658">
      <c r="A658" s="182">
        <f>A578</f>
        <v>101</v>
      </c>
      <c r="B658" s="131" t="str">
        <f>B578</f>
        <v>Negative</v>
      </c>
      <c r="C658" s="195" t="str">
        <f>C418</f>
        <v>BF</v>
      </c>
      <c r="D658" s="131">
        <f>IF(K578=0,J578,H578)/I578</f>
        <v>46.5647565327574</v>
      </c>
      <c r="E658" s="131">
        <f>0.95*SQRT(INPUT!$B$2*L578/(M498-0.3)/INPUT!AO4)</f>
        <v>0</v>
      </c>
      <c r="F658" s="131">
        <f>0.57*SQRT(INPUT!$B$2*L578/INPUT!AO4/M498)</f>
        <v>0</v>
      </c>
      <c r="G658" s="131">
        <f>IF(D658&lt;=F658,1*N338*INPUT!AO4*M498,IF(D658&lt;=E658,1*N338*INPUT!AO4*(M498-(M498-(M498-0.3)/N338)*((D658-F658)/(E658-F658))),0.9*INPUT!$B$2*1*L578/D658/D658))</f>
        <v>0</v>
      </c>
      <c r="H658" s="131">
        <f>IF(D658&lt;=1.12*SQRT(INPUT!$B$2*M578/INPUT!AO4),0.58*INPUT!AO4,IF(D658&lt;=1.4*SQRT(INPUT!$B$2*M578/INPUT!AO4),0.65*SQRT(INPUT!AO4*INPUT!$B$2*M578)/D658,0.9*INPUT!$B$2*M578/D658/D658))</f>
        <v>0</v>
      </c>
      <c r="I658" s="131">
        <f>L498</f>
        <v>-0.44053693654699411</v>
      </c>
      <c r="J658" s="454" t="e">
        <f>IF(C658="OF","OF",G658*SQRT(1-(I658/H658)^2))</f>
        <v>#DIV/0!</v>
      </c>
      <c r="M658" s="67"/>
    </row>
    <row r="659">
      <c r="A659" s="182">
        <f>A579</f>
        <v>101</v>
      </c>
      <c r="B659" s="131" t="str">
        <f>B579</f>
        <v>Negative</v>
      </c>
      <c r="C659" s="195" t="str">
        <f>C419</f>
        <v>BF</v>
      </c>
      <c r="D659" s="131">
        <f>IF(K579=0,J579,H579)/I579</f>
        <v>46.5647565327574</v>
      </c>
      <c r="E659" s="131">
        <f>0.95*SQRT(INPUT!$B$2*L579/(M499-0.3)/INPUT!AO5)</f>
        <v>0</v>
      </c>
      <c r="F659" s="131">
        <f>0.57*SQRT(INPUT!$B$2*L579/INPUT!AO5/M499)</f>
        <v>0</v>
      </c>
      <c r="G659" s="131">
        <f>IF(D659&lt;=F659,1*N339*INPUT!AO5*M499,IF(D659&lt;=E659,1*N339*INPUT!AO5*(M499-(M499-(M499-0.3)/N339)*((D659-F659)/(E659-F659))),0.9*INPUT!$B$2*1*L579/D659/D659))</f>
        <v>0</v>
      </c>
      <c r="H659" s="131">
        <f>IF(D659&lt;=1.12*SQRT(INPUT!$B$2*M579/INPUT!AO5),0.58*INPUT!AO5,IF(D659&lt;=1.4*SQRT(INPUT!$B$2*M579/INPUT!AO5),0.65*SQRT(INPUT!AO5*INPUT!$B$2*M579)/D659,0.9*INPUT!$B$2*M579/D659/D659))</f>
        <v>0</v>
      </c>
      <c r="I659" s="131">
        <f>L499</f>
        <v>-0.44053693654699411</v>
      </c>
      <c r="J659" s="454" t="e">
        <f>IF(C659="OF","OF",G659*SQRT(1-(I659/H659)^2))</f>
        <v>#DIV/0!</v>
      </c>
      <c r="M659" s="67"/>
    </row>
    <row r="660">
      <c r="A660" s="182">
        <f>A580</f>
        <v>101</v>
      </c>
      <c r="B660" s="131" t="str">
        <f>B580</f>
        <v>Negative</v>
      </c>
      <c r="C660" s="195" t="str">
        <f>C420</f>
        <v>BF</v>
      </c>
      <c r="D660" s="131">
        <f>IF(K580=0,J580,H580)/I580</f>
        <v>46.5647565327574</v>
      </c>
      <c r="E660" s="131">
        <f>0.95*SQRT(INPUT!$B$2*L580/(M500-0.3)/INPUT!AO6)</f>
        <v>0</v>
      </c>
      <c r="F660" s="131">
        <f>0.57*SQRT(INPUT!$B$2*L580/INPUT!AO6/M500)</f>
        <v>0</v>
      </c>
      <c r="G660" s="131">
        <f>IF(D660&lt;=F660,1*N340*INPUT!AO6*M500,IF(D660&lt;=E660,1*N340*INPUT!AO6*(M500-(M500-(M500-0.3)/N340)*((D660-F660)/(E660-F660))),0.9*INPUT!$B$2*1*L580/D660/D660))</f>
        <v>0</v>
      </c>
      <c r="H660" s="131">
        <f>IF(D660&lt;=1.12*SQRT(INPUT!$B$2*M580/INPUT!AO6),0.58*INPUT!AO6,IF(D660&lt;=1.4*SQRT(INPUT!$B$2*M580/INPUT!AO6),0.65*SQRT(INPUT!AO6*INPUT!$B$2*M580)/D660,0.9*INPUT!$B$2*M580/D660/D660))</f>
        <v>0</v>
      </c>
      <c r="I660" s="131">
        <f>L500</f>
        <v>-0.44053693654699411</v>
      </c>
      <c r="J660" s="454" t="e">
        <f>IF(C660="OF","OF",G660*SQRT(1-(I660/H660)^2))</f>
        <v>#DIV/0!</v>
      </c>
      <c r="M660" s="67"/>
    </row>
    <row r="661">
      <c r="A661" s="182">
        <f>A581</f>
        <v>101</v>
      </c>
      <c r="B661" s="131" t="str">
        <f>B581</f>
        <v>Negative</v>
      </c>
      <c r="C661" s="195" t="str">
        <f>C421</f>
        <v>BF</v>
      </c>
      <c r="D661" s="131">
        <f>IF(K581=0,J581,H581)/I581</f>
        <v>46.5647565327574</v>
      </c>
      <c r="E661" s="131">
        <f>0.95*SQRT(INPUT!$B$2*L581/(M501-0.3)/INPUT!AO7)</f>
        <v>0</v>
      </c>
      <c r="F661" s="131">
        <f>0.57*SQRT(INPUT!$B$2*L581/INPUT!AO7/M501)</f>
        <v>0</v>
      </c>
      <c r="G661" s="131">
        <f>IF(D661&lt;=F661,1*N341*INPUT!AO7*M501,IF(D661&lt;=E661,1*N341*INPUT!AO7*(M501-(M501-(M501-0.3)/N341)*((D661-F661)/(E661-F661))),0.9*INPUT!$B$2*1*L581/D661/D661))</f>
        <v>0</v>
      </c>
      <c r="H661" s="131">
        <f>IF(D661&lt;=1.12*SQRT(INPUT!$B$2*M581/INPUT!AO7),0.58*INPUT!AO7,IF(D661&lt;=1.4*SQRT(INPUT!$B$2*M581/INPUT!AO7),0.65*SQRT(INPUT!AO7*INPUT!$B$2*M581)/D661,0.9*INPUT!$B$2*M581/D661/D661))</f>
        <v>0</v>
      </c>
      <c r="I661" s="131">
        <f>L501</f>
        <v>-0.44053693654699411</v>
      </c>
      <c r="J661" s="454" t="e">
        <f>IF(C661="OF","OF",G661*SQRT(1-(I661/H661)^2))</f>
        <v>#DIV/0!</v>
      </c>
      <c r="M661" s="67"/>
    </row>
    <row r="662">
      <c r="A662" s="182">
        <f>A582</f>
        <v>101</v>
      </c>
      <c r="B662" s="131" t="str">
        <f>B582</f>
        <v>Negative</v>
      </c>
      <c r="C662" s="195" t="str">
        <f>C422</f>
        <v>BF</v>
      </c>
      <c r="D662" s="131">
        <f>IF(K582=0,J582,H582)/I582</f>
        <v>46.5647565327574</v>
      </c>
      <c r="E662" s="131">
        <f>0.95*SQRT(INPUT!$B$2*L582/(M502-0.3)/INPUT!AO8)</f>
        <v>0</v>
      </c>
      <c r="F662" s="131">
        <f>0.57*SQRT(INPUT!$B$2*L582/INPUT!AO8/M502)</f>
        <v>0</v>
      </c>
      <c r="G662" s="131">
        <f>IF(D662&lt;=F662,1*N342*INPUT!AO8*M502,IF(D662&lt;=E662,1*N342*INPUT!AO8*(M502-(M502-(M502-0.3)/N342)*((D662-F662)/(E662-F662))),0.9*INPUT!$B$2*1*L582/D662/D662))</f>
        <v>0</v>
      </c>
      <c r="H662" s="131">
        <f>IF(D662&lt;=1.12*SQRT(INPUT!$B$2*M582/INPUT!AO8),0.58*INPUT!AO8,IF(D662&lt;=1.4*SQRT(INPUT!$B$2*M582/INPUT!AO8),0.65*SQRT(INPUT!AO8*INPUT!$B$2*M582)/D662,0.9*INPUT!$B$2*M582/D662/D662))</f>
        <v>0</v>
      </c>
      <c r="I662" s="131">
        <f>L502</f>
        <v>-0.44053693654699411</v>
      </c>
      <c r="J662" s="454" t="e">
        <f>IF(C662="OF","OF",G662*SQRT(1-(I662/H662)^2))</f>
        <v>#DIV/0!</v>
      </c>
      <c r="M662" s="67"/>
    </row>
    <row r="663">
      <c r="A663" s="182">
        <f>A583</f>
        <v>101</v>
      </c>
      <c r="B663" s="131" t="str">
        <f>B583</f>
        <v>Negative</v>
      </c>
      <c r="C663" s="195" t="str">
        <f>C423</f>
        <v>BF</v>
      </c>
      <c r="D663" s="131">
        <f>IF(K583=0,J583,H583)/I583</f>
        <v>46.5647565327574</v>
      </c>
      <c r="E663" s="131">
        <f>0.95*SQRT(INPUT!$B$2*L583/(M503-0.3)/INPUT!AO9)</f>
        <v>0</v>
      </c>
      <c r="F663" s="131">
        <f>0.57*SQRT(INPUT!$B$2*L583/INPUT!AO9/M503)</f>
        <v>0</v>
      </c>
      <c r="G663" s="131">
        <f>IF(D663&lt;=F663,1*N343*INPUT!AO9*M503,IF(D663&lt;=E663,1*N343*INPUT!AO9*(M503-(M503-(M503-0.3)/N343)*((D663-F663)/(E663-F663))),0.9*INPUT!$B$2*1*L583/D663/D663))</f>
        <v>0</v>
      </c>
      <c r="H663" s="131">
        <f>IF(D663&lt;=1.12*SQRT(INPUT!$B$2*M583/INPUT!AO9),0.58*INPUT!AO9,IF(D663&lt;=1.4*SQRT(INPUT!$B$2*M583/INPUT!AO9),0.65*SQRT(INPUT!AO9*INPUT!$B$2*M583)/D663,0.9*INPUT!$B$2*M583/D663/D663))</f>
        <v>0</v>
      </c>
      <c r="I663" s="131">
        <f>L503</f>
        <v>-0.44053693654699411</v>
      </c>
      <c r="J663" s="454" t="e">
        <f>IF(C663="OF","OF",G663*SQRT(1-(I663/H663)^2))</f>
        <v>#DIV/0!</v>
      </c>
      <c r="M663" s="67"/>
    </row>
    <row r="664">
      <c r="A664" s="182">
        <f>A584</f>
        <v>101</v>
      </c>
      <c r="B664" s="131" t="str">
        <f>B584</f>
        <v>Negative</v>
      </c>
      <c r="C664" s="195" t="str">
        <f>C424</f>
        <v>BF</v>
      </c>
      <c r="D664" s="131">
        <f>IF(K584=0,J584,H584)/I584</f>
        <v>46.5647565327574</v>
      </c>
      <c r="E664" s="131">
        <f>0.95*SQRT(INPUT!$B$2*L584/(M504-0.3)/INPUT!AO10)</f>
        <v>0</v>
      </c>
      <c r="F664" s="131">
        <f>0.57*SQRT(INPUT!$B$2*L584/INPUT!AO10/M504)</f>
        <v>0</v>
      </c>
      <c r="G664" s="131">
        <f>IF(D664&lt;=F664,1*N344*INPUT!AO10*M504,IF(D664&lt;=E664,1*N344*INPUT!AO10*(M504-(M504-(M504-0.3)/N344)*((D664-F664)/(E664-F664))),0.9*INPUT!$B$2*1*L584/D664/D664))</f>
        <v>0</v>
      </c>
      <c r="H664" s="131">
        <f>IF(D664&lt;=1.12*SQRT(INPUT!$B$2*M584/INPUT!AO10),0.58*INPUT!AO10,IF(D664&lt;=1.4*SQRT(INPUT!$B$2*M584/INPUT!AO10),0.65*SQRT(INPUT!AO10*INPUT!$B$2*M584)/D664,0.9*INPUT!$B$2*M584/D664/D664))</f>
        <v>0</v>
      </c>
      <c r="I664" s="131">
        <f>L504</f>
        <v>-0.44053693654699411</v>
      </c>
      <c r="J664" s="454" t="e">
        <f>IF(C664="OF","OF",G664*SQRT(1-(I664/H664)^2))</f>
        <v>#DIV/0!</v>
      </c>
      <c r="M664" s="67"/>
    </row>
    <row r="665">
      <c r="A665" s="182">
        <f>A585</f>
        <v>101</v>
      </c>
      <c r="B665" s="131" t="str">
        <f>B585</f>
        <v>Negative</v>
      </c>
      <c r="C665" s="195" t="str">
        <f>C425</f>
        <v>BF</v>
      </c>
      <c r="D665" s="131">
        <f>IF(K585=0,J585,H585)/I585</f>
        <v>46.5647565327574</v>
      </c>
      <c r="E665" s="131">
        <f>0.95*SQRT(INPUT!$B$2*L585/(M505-0.3)/INPUT!AO11)</f>
        <v>0</v>
      </c>
      <c r="F665" s="131">
        <f>0.57*SQRT(INPUT!$B$2*L585/INPUT!AO11/M505)</f>
        <v>0</v>
      </c>
      <c r="G665" s="131">
        <f>IF(D665&lt;=F665,1*N345*INPUT!AO11*M505,IF(D665&lt;=E665,1*N345*INPUT!AO11*(M505-(M505-(M505-0.3)/N345)*((D665-F665)/(E665-F665))),0.9*INPUT!$B$2*1*L585/D665/D665))</f>
        <v>0</v>
      </c>
      <c r="H665" s="131">
        <f>IF(D665&lt;=1.12*SQRT(INPUT!$B$2*M585/INPUT!AO11),0.58*INPUT!AO11,IF(D665&lt;=1.4*SQRT(INPUT!$B$2*M585/INPUT!AO11),0.65*SQRT(INPUT!AO11*INPUT!$B$2*M585)/D665,0.9*INPUT!$B$2*M585/D665/D665))</f>
        <v>0</v>
      </c>
      <c r="I665" s="131">
        <f>L505</f>
        <v>-0.44053693654699411</v>
      </c>
      <c r="J665" s="454" t="e">
        <f>IF(C665="OF","OF",G665*SQRT(1-(I665/H665)^2))</f>
        <v>#DIV/0!</v>
      </c>
      <c r="M665" s="67"/>
    </row>
    <row r="666">
      <c r="A666" s="182">
        <f>A586</f>
        <v>101</v>
      </c>
      <c r="B666" s="131" t="str">
        <f>B586</f>
        <v>Negative</v>
      </c>
      <c r="C666" s="195" t="str">
        <f>C426</f>
        <v>BF</v>
      </c>
      <c r="D666" s="131">
        <f>IF(K586=0,J586,H586)/I586</f>
        <v>46.5647565327574</v>
      </c>
      <c r="E666" s="131">
        <f>0.95*SQRT(INPUT!$B$2*L586/(M506-0.3)/INPUT!AO12)</f>
        <v>0</v>
      </c>
      <c r="F666" s="131">
        <f>0.57*SQRT(INPUT!$B$2*L586/INPUT!AO12/M506)</f>
        <v>0</v>
      </c>
      <c r="G666" s="131">
        <f>IF(D666&lt;=F666,1*N346*INPUT!AO12*M506,IF(D666&lt;=E666,1*N346*INPUT!AO12*(M506-(M506-(M506-0.3)/N346)*((D666-F666)/(E666-F666))),0.9*INPUT!$B$2*1*L586/D666/D666))</f>
        <v>0</v>
      </c>
      <c r="H666" s="131">
        <f>IF(D666&lt;=1.12*SQRT(INPUT!$B$2*M586/INPUT!AO12),0.58*INPUT!AO12,IF(D666&lt;=1.4*SQRT(INPUT!$B$2*M586/INPUT!AO12),0.65*SQRT(INPUT!AO12*INPUT!$B$2*M586)/D666,0.9*INPUT!$B$2*M586/D666/D666))</f>
        <v>0</v>
      </c>
      <c r="I666" s="131">
        <f>L506</f>
        <v>-0.44053693654699411</v>
      </c>
      <c r="J666" s="454" t="e">
        <f>IF(C666="OF","OF",G666*SQRT(1-(I666/H666)^2))</f>
        <v>#DIV/0!</v>
      </c>
      <c r="M666" s="67"/>
    </row>
    <row r="667">
      <c r="A667" s="182">
        <f>A587</f>
        <v>101</v>
      </c>
      <c r="B667" s="131" t="str">
        <f>B587</f>
        <v>Negative</v>
      </c>
      <c r="C667" s="195" t="str">
        <f>C427</f>
        <v>BF</v>
      </c>
      <c r="D667" s="131">
        <f>IF(K587=0,J587,H587)/I587</f>
        <v>46.5647565327574</v>
      </c>
      <c r="E667" s="131">
        <f>0.95*SQRT(INPUT!$B$2*L587/(M507-0.3)/INPUT!AO13)</f>
        <v>0</v>
      </c>
      <c r="F667" s="131">
        <f>0.57*SQRT(INPUT!$B$2*L587/INPUT!AO13/M507)</f>
        <v>0</v>
      </c>
      <c r="G667" s="131">
        <f>IF(D667&lt;=F667,1*N347*INPUT!AO13*M507,IF(D667&lt;=E667,1*N347*INPUT!AO13*(M507-(M507-(M507-0.3)/N347)*((D667-F667)/(E667-F667))),0.9*INPUT!$B$2*1*L587/D667/D667))</f>
        <v>0</v>
      </c>
      <c r="H667" s="131">
        <f>IF(D667&lt;=1.12*SQRT(INPUT!$B$2*M587/INPUT!AO13),0.58*INPUT!AO13,IF(D667&lt;=1.4*SQRT(INPUT!$B$2*M587/INPUT!AO13),0.65*SQRT(INPUT!AO13*INPUT!$B$2*M587)/D667,0.9*INPUT!$B$2*M587/D667/D667))</f>
        <v>0</v>
      </c>
      <c r="I667" s="131">
        <f>L507</f>
        <v>-0.44053693654699411</v>
      </c>
      <c r="J667" s="454" t="e">
        <f>IF(C667="OF","OF",G667*SQRT(1-(I667/H667)^2))</f>
        <v>#DIV/0!</v>
      </c>
      <c r="M667" s="67"/>
    </row>
    <row r="668">
      <c r="A668" s="182">
        <f>A588</f>
        <v>101</v>
      </c>
      <c r="B668" s="131" t="str">
        <f>B588</f>
        <v>Negative</v>
      </c>
      <c r="C668" s="195" t="str">
        <f>C428</f>
        <v>BF</v>
      </c>
      <c r="D668" s="131">
        <f>IF(K588=0,J588,H588)/I588</f>
        <v>46.5647565327574</v>
      </c>
      <c r="E668" s="131">
        <f>0.95*SQRT(INPUT!$B$2*L588/(M508-0.3)/INPUT!AO14)</f>
        <v>0</v>
      </c>
      <c r="F668" s="131">
        <f>0.57*SQRT(INPUT!$B$2*L588/INPUT!AO14/M508)</f>
        <v>0</v>
      </c>
      <c r="G668" s="131">
        <f>IF(D668&lt;=F668,1*N348*INPUT!AO14*M508,IF(D668&lt;=E668,1*N348*INPUT!AO14*(M508-(M508-(M508-0.3)/N348)*((D668-F668)/(E668-F668))),0.9*INPUT!$B$2*1*L588/D668/D668))</f>
        <v>0</v>
      </c>
      <c r="H668" s="131">
        <f>IF(D668&lt;=1.12*SQRT(INPUT!$B$2*M588/INPUT!AO14),0.58*INPUT!AO14,IF(D668&lt;=1.4*SQRT(INPUT!$B$2*M588/INPUT!AO14),0.65*SQRT(INPUT!AO14*INPUT!$B$2*M588)/D668,0.9*INPUT!$B$2*M588/D668/D668))</f>
        <v>0</v>
      </c>
      <c r="I668" s="131">
        <f>L508</f>
        <v>-0.44053693654699411</v>
      </c>
      <c r="J668" s="454" t="e">
        <f>IF(C668="OF","OF",G668*SQRT(1-(I668/H668)^2))</f>
        <v>#DIV/0!</v>
      </c>
      <c r="M668" s="67"/>
    </row>
    <row r="669">
      <c r="A669" s="182">
        <f>A589</f>
        <v>101</v>
      </c>
      <c r="B669" s="131" t="str">
        <f>B589</f>
        <v>Negative</v>
      </c>
      <c r="C669" s="195" t="str">
        <f>C429</f>
        <v>BF</v>
      </c>
      <c r="D669" s="131">
        <f>IF(K589=0,J589,H589)/I589</f>
        <v>46.5647565327574</v>
      </c>
      <c r="E669" s="131">
        <f>0.95*SQRT(INPUT!$B$2*L589/(M509-0.3)/INPUT!AO15)</f>
        <v>0</v>
      </c>
      <c r="F669" s="131">
        <f>0.57*SQRT(INPUT!$B$2*L589/INPUT!AO15/M509)</f>
        <v>0</v>
      </c>
      <c r="G669" s="131">
        <f>IF(D669&lt;=F669,1*N349*INPUT!AO15*M509,IF(D669&lt;=E669,1*N349*INPUT!AO15*(M509-(M509-(M509-0.3)/N349)*((D669-F669)/(E669-F669))),0.9*INPUT!$B$2*1*L589/D669/D669))</f>
        <v>0</v>
      </c>
      <c r="H669" s="131">
        <f>IF(D669&lt;=1.12*SQRT(INPUT!$B$2*M589/INPUT!AO15),0.58*INPUT!AO15,IF(D669&lt;=1.4*SQRT(INPUT!$B$2*M589/INPUT!AO15),0.65*SQRT(INPUT!AO15*INPUT!$B$2*M589)/D669,0.9*INPUT!$B$2*M589/D669/D669))</f>
        <v>0</v>
      </c>
      <c r="I669" s="131">
        <f>L509</f>
        <v>-0.44053693654699411</v>
      </c>
      <c r="J669" s="454" t="e">
        <f>IF(C669="OF","OF",G669*SQRT(1-(I669/H669)^2))</f>
        <v>#DIV/0!</v>
      </c>
      <c r="M669" s="67"/>
    </row>
    <row r="670">
      <c r="A670" s="182">
        <f>A590</f>
        <v>101</v>
      </c>
      <c r="B670" s="131" t="str">
        <f>B590</f>
        <v>Negative</v>
      </c>
      <c r="C670" s="195" t="str">
        <f>C430</f>
        <v>BF</v>
      </c>
      <c r="D670" s="131">
        <f>IF(K590=0,J590,H590)/I590</f>
        <v>46.5647565327574</v>
      </c>
      <c r="E670" s="131">
        <f>0.95*SQRT(INPUT!$B$2*L590/(M510-0.3)/INPUT!AO16)</f>
        <v>0</v>
      </c>
      <c r="F670" s="131">
        <f>0.57*SQRT(INPUT!$B$2*L590/INPUT!AO16/M510)</f>
        <v>0</v>
      </c>
      <c r="G670" s="131">
        <f>IF(D670&lt;=F670,1*N350*INPUT!AO16*M510,IF(D670&lt;=E670,1*N350*INPUT!AO16*(M510-(M510-(M510-0.3)/N350)*((D670-F670)/(E670-F670))),0.9*INPUT!$B$2*1*L590/D670/D670))</f>
        <v>0</v>
      </c>
      <c r="H670" s="131">
        <f>IF(D670&lt;=1.12*SQRT(INPUT!$B$2*M590/INPUT!AO16),0.58*INPUT!AO16,IF(D670&lt;=1.4*SQRT(INPUT!$B$2*M590/INPUT!AO16),0.65*SQRT(INPUT!AO16*INPUT!$B$2*M590)/D670,0.9*INPUT!$B$2*M590/D670/D670))</f>
        <v>0</v>
      </c>
      <c r="I670" s="131">
        <f>L510</f>
        <v>-0.44053693654699411</v>
      </c>
      <c r="J670" s="454" t="e">
        <f>IF(C670="OF","OF",G670*SQRT(1-(I670/H670)^2))</f>
        <v>#DIV/0!</v>
      </c>
      <c r="M670" s="67"/>
    </row>
    <row r="671">
      <c r="A671" s="182">
        <f>A591</f>
        <v>101</v>
      </c>
      <c r="B671" s="131" t="str">
        <f>B591</f>
        <v>Negative</v>
      </c>
      <c r="C671" s="195" t="str">
        <f>C431</f>
        <v>BF</v>
      </c>
      <c r="D671" s="131">
        <f>IF(K591=0,J591,H591)/I591</f>
        <v>46.5647565327574</v>
      </c>
      <c r="E671" s="131">
        <f>0.95*SQRT(INPUT!$B$2*L591/(M511-0.3)/INPUT!AO17)</f>
        <v>0</v>
      </c>
      <c r="F671" s="131">
        <f>0.57*SQRT(INPUT!$B$2*L591/INPUT!AO17/M511)</f>
        <v>0</v>
      </c>
      <c r="G671" s="131">
        <f>IF(D671&lt;=F671,1*N351*INPUT!AO17*M511,IF(D671&lt;=E671,1*N351*INPUT!AO17*(M511-(M511-(M511-0.3)/N351)*((D671-F671)/(E671-F671))),0.9*INPUT!$B$2*1*L591/D671/D671))</f>
        <v>0</v>
      </c>
      <c r="H671" s="131">
        <f>IF(D671&lt;=1.12*SQRT(INPUT!$B$2*M591/INPUT!AO17),0.58*INPUT!AO17,IF(D671&lt;=1.4*SQRT(INPUT!$B$2*M591/INPUT!AO17),0.65*SQRT(INPUT!AO17*INPUT!$B$2*M591)/D671,0.9*INPUT!$B$2*M591/D671/D671))</f>
        <v>0</v>
      </c>
      <c r="I671" s="131">
        <f>L511</f>
        <v>-0.44053693654699411</v>
      </c>
      <c r="J671" s="454" t="e">
        <f>IF(C671="OF","OF",G671*SQRT(1-(I671/H671)^2))</f>
        <v>#DIV/0!</v>
      </c>
      <c r="M671" s="67"/>
    </row>
    <row r="672">
      <c r="A672" s="182">
        <f>A592</f>
        <v>101</v>
      </c>
      <c r="B672" s="131" t="str">
        <f>B592</f>
        <v>Negative</v>
      </c>
      <c r="C672" s="195" t="str">
        <f>C432</f>
        <v>BF</v>
      </c>
      <c r="D672" s="131">
        <f>IF(K592=0,J592,H592)/I592</f>
        <v>46.5647565327574</v>
      </c>
      <c r="E672" s="131">
        <f>0.95*SQRT(INPUT!$B$2*L592/(M512-0.3)/INPUT!AO18)</f>
        <v>0</v>
      </c>
      <c r="F672" s="131">
        <f>0.57*SQRT(INPUT!$B$2*L592/INPUT!AO18/M512)</f>
        <v>0</v>
      </c>
      <c r="G672" s="131">
        <f>IF(D672&lt;=F672,1*N352*INPUT!AO18*M512,IF(D672&lt;=E672,1*N352*INPUT!AO18*(M512-(M512-(M512-0.3)/N352)*((D672-F672)/(E672-F672))),0.9*INPUT!$B$2*1*L592/D672/D672))</f>
        <v>0</v>
      </c>
      <c r="H672" s="131">
        <f>IF(D672&lt;=1.12*SQRT(INPUT!$B$2*M592/INPUT!AO18),0.58*INPUT!AO18,IF(D672&lt;=1.4*SQRT(INPUT!$B$2*M592/INPUT!AO18),0.65*SQRT(INPUT!AO18*INPUT!$B$2*M592)/D672,0.9*INPUT!$B$2*M592/D672/D672))</f>
        <v>0</v>
      </c>
      <c r="I672" s="131">
        <f>L512</f>
        <v>-0.44053693654699411</v>
      </c>
      <c r="J672" s="454" t="e">
        <f>IF(C672="OF","OF",G672*SQRT(1-(I672/H672)^2))</f>
        <v>#DIV/0!</v>
      </c>
      <c r="M672" s="67"/>
    </row>
    <row r="673">
      <c r="A673" s="182">
        <f>A593</f>
        <v>101</v>
      </c>
      <c r="B673" s="131" t="str">
        <f>B593</f>
        <v>Negative</v>
      </c>
      <c r="C673" s="195" t="str">
        <f>C433</f>
        <v>BF</v>
      </c>
      <c r="D673" s="131">
        <f>IF(K593=0,J593,H593)/I593</f>
        <v>46.5647565327574</v>
      </c>
      <c r="E673" s="131">
        <f>0.95*SQRT(INPUT!$B$2*L593/(M513-0.3)/INPUT!AO19)</f>
        <v>0</v>
      </c>
      <c r="F673" s="131">
        <f>0.57*SQRT(INPUT!$B$2*L593/INPUT!AO19/M513)</f>
        <v>0</v>
      </c>
      <c r="G673" s="131">
        <f>IF(D673&lt;=F673,1*N353*INPUT!AO19*M513,IF(D673&lt;=E673,1*N353*INPUT!AO19*(M513-(M513-(M513-0.3)/N353)*((D673-F673)/(E673-F673))),0.9*INPUT!$B$2*1*L593/D673/D673))</f>
        <v>0</v>
      </c>
      <c r="H673" s="131">
        <f>IF(D673&lt;=1.12*SQRT(INPUT!$B$2*M593/INPUT!AO19),0.58*INPUT!AO19,IF(D673&lt;=1.4*SQRT(INPUT!$B$2*M593/INPUT!AO19),0.65*SQRT(INPUT!AO19*INPUT!$B$2*M593)/D673,0.9*INPUT!$B$2*M593/D673/D673))</f>
        <v>0</v>
      </c>
      <c r="I673" s="131">
        <f>L513</f>
        <v>-0.44053693654699411</v>
      </c>
      <c r="J673" s="454" t="e">
        <f>IF(C673="OF","OF",G673*SQRT(1-(I673/H673)^2))</f>
        <v>#DIV/0!</v>
      </c>
      <c r="M673" s="67"/>
    </row>
    <row r="674">
      <c r="A674" s="182">
        <f>A594</f>
        <v>101</v>
      </c>
      <c r="B674" s="131" t="str">
        <f>B594</f>
        <v>Negative</v>
      </c>
      <c r="C674" s="195" t="str">
        <f>C434</f>
        <v>BF</v>
      </c>
      <c r="D674" s="131">
        <f>IF(K594=0,J594,H594)/I594</f>
        <v>46.5647565327574</v>
      </c>
      <c r="E674" s="131">
        <f>0.95*SQRT(INPUT!$B$2*L594/(M514-0.3)/INPUT!AO20)</f>
        <v>0</v>
      </c>
      <c r="F674" s="131">
        <f>0.57*SQRT(INPUT!$B$2*L594/INPUT!AO20/M514)</f>
        <v>0</v>
      </c>
      <c r="G674" s="131">
        <f>IF(D674&lt;=F674,1*N354*INPUT!AO20*M514,IF(D674&lt;=E674,1*N354*INPUT!AO20*(M514-(M514-(M514-0.3)/N354)*((D674-F674)/(E674-F674))),0.9*INPUT!$B$2*1*L594/D674/D674))</f>
        <v>0</v>
      </c>
      <c r="H674" s="131">
        <f>IF(D674&lt;=1.12*SQRT(INPUT!$B$2*M594/INPUT!AO20),0.58*INPUT!AO20,IF(D674&lt;=1.4*SQRT(INPUT!$B$2*M594/INPUT!AO20),0.65*SQRT(INPUT!AO20*INPUT!$B$2*M594)/D674,0.9*INPUT!$B$2*M594/D674/D674))</f>
        <v>0</v>
      </c>
      <c r="I674" s="131">
        <f>L514</f>
        <v>-0.44053693654699411</v>
      </c>
      <c r="J674" s="454" t="e">
        <f>IF(C674="OF","OF",G674*SQRT(1-(I674/H674)^2))</f>
        <v>#DIV/0!</v>
      </c>
      <c r="M674" s="67"/>
    </row>
    <row r="675">
      <c r="A675" s="182">
        <f>A595</f>
        <v>101</v>
      </c>
      <c r="B675" s="131" t="str">
        <f>B595</f>
        <v>Negative</v>
      </c>
      <c r="C675" s="195" t="str">
        <f>C435</f>
        <v>BF</v>
      </c>
      <c r="D675" s="131">
        <f>IF(K595=0,J595,H595)/I595</f>
        <v>46.5647565327574</v>
      </c>
      <c r="E675" s="131">
        <f>0.95*SQRT(INPUT!$B$2*L595/(M515-0.3)/INPUT!AO21)</f>
        <v>0</v>
      </c>
      <c r="F675" s="131">
        <f>0.57*SQRT(INPUT!$B$2*L595/INPUT!AO21/M515)</f>
        <v>0</v>
      </c>
      <c r="G675" s="131">
        <f>IF(D675&lt;=F675,1*N355*INPUT!AO21*M515,IF(D675&lt;=E675,1*N355*INPUT!AO21*(M515-(M515-(M515-0.3)/N355)*((D675-F675)/(E675-F675))),0.9*INPUT!$B$2*1*L595/D675/D675))</f>
        <v>0</v>
      </c>
      <c r="H675" s="131">
        <f>IF(D675&lt;=1.12*SQRT(INPUT!$B$2*M595/INPUT!AO21),0.58*INPUT!AO21,IF(D675&lt;=1.4*SQRT(INPUT!$B$2*M595/INPUT!AO21),0.65*SQRT(INPUT!AO21*INPUT!$B$2*M595)/D675,0.9*INPUT!$B$2*M595/D675/D675))</f>
        <v>0</v>
      </c>
      <c r="I675" s="131">
        <f>L515</f>
        <v>-0.44053693654699411</v>
      </c>
      <c r="J675" s="454" t="e">
        <f>IF(C675="OF","OF",G675*SQRT(1-(I675/H675)^2))</f>
        <v>#DIV/0!</v>
      </c>
      <c r="M675" s="67"/>
    </row>
    <row r="676">
      <c r="A676" s="182">
        <f>A596</f>
        <v>101</v>
      </c>
      <c r="B676" s="131" t="str">
        <f>B596</f>
        <v>Negative</v>
      </c>
      <c r="C676" s="195" t="str">
        <f>C436</f>
        <v>BF</v>
      </c>
      <c r="D676" s="131">
        <f>IF(K596=0,J596,H596)/I596</f>
        <v>46.5647565327574</v>
      </c>
      <c r="E676" s="131">
        <f>0.95*SQRT(INPUT!$B$2*L596/(M516-0.3)/INPUT!AO22)</f>
        <v>0</v>
      </c>
      <c r="F676" s="131">
        <f>0.57*SQRT(INPUT!$B$2*L596/INPUT!AO22/M516)</f>
        <v>0</v>
      </c>
      <c r="G676" s="131">
        <f>IF(D676&lt;=F676,1*N356*INPUT!AO22*M516,IF(D676&lt;=E676,1*N356*INPUT!AO22*(M516-(M516-(M516-0.3)/N356)*((D676-F676)/(E676-F676))),0.9*INPUT!$B$2*1*L596/D676/D676))</f>
        <v>0</v>
      </c>
      <c r="H676" s="131">
        <f>IF(D676&lt;=1.12*SQRT(INPUT!$B$2*M596/INPUT!AO22),0.58*INPUT!AO22,IF(D676&lt;=1.4*SQRT(INPUT!$B$2*M596/INPUT!AO22),0.65*SQRT(INPUT!AO22*INPUT!$B$2*M596)/D676,0.9*INPUT!$B$2*M596/D676/D676))</f>
        <v>0</v>
      </c>
      <c r="I676" s="131">
        <f>L516</f>
        <v>-0.44053693654699411</v>
      </c>
      <c r="J676" s="454" t="e">
        <f>IF(C676="OF","OF",G676*SQRT(1-(I676/H676)^2))</f>
        <v>#DIV/0!</v>
      </c>
      <c r="M676" s="67"/>
    </row>
    <row r="677">
      <c r="A677" s="182">
        <f>A597</f>
        <v>101</v>
      </c>
      <c r="B677" s="131" t="str">
        <f>B597</f>
        <v>Negative</v>
      </c>
      <c r="C677" s="195" t="str">
        <f>C437</f>
        <v>BF</v>
      </c>
      <c r="D677" s="131">
        <f>IF(K597=0,J597,H597)/I597</f>
        <v>46.5647565327574</v>
      </c>
      <c r="E677" s="131">
        <f>0.95*SQRT(INPUT!$B$2*L597/(M517-0.3)/INPUT!AO23)</f>
        <v>0</v>
      </c>
      <c r="F677" s="131">
        <f>0.57*SQRT(INPUT!$B$2*L597/INPUT!AO23/M517)</f>
        <v>0</v>
      </c>
      <c r="G677" s="131">
        <f>IF(D677&lt;=F677,1*N357*INPUT!AO23*M517,IF(D677&lt;=E677,1*N357*INPUT!AO23*(M517-(M517-(M517-0.3)/N357)*((D677-F677)/(E677-F677))),0.9*INPUT!$B$2*1*L597/D677/D677))</f>
        <v>0</v>
      </c>
      <c r="H677" s="131">
        <f>IF(D677&lt;=1.12*SQRT(INPUT!$B$2*M597/INPUT!AO23),0.58*INPUT!AO23,IF(D677&lt;=1.4*SQRT(INPUT!$B$2*M597/INPUT!AO23),0.65*SQRT(INPUT!AO23*INPUT!$B$2*M597)/D677,0.9*INPUT!$B$2*M597/D677/D677))</f>
        <v>0</v>
      </c>
      <c r="I677" s="131">
        <f>L517</f>
        <v>-0.44053693654699411</v>
      </c>
      <c r="J677" s="454" t="e">
        <f>IF(C677="OF","OF",G677*SQRT(1-(I677/H677)^2))</f>
        <v>#DIV/0!</v>
      </c>
      <c r="M677" s="67"/>
    </row>
    <row r="678">
      <c r="A678" s="182">
        <f>A598</f>
        <v>101</v>
      </c>
      <c r="B678" s="131" t="str">
        <f>B598</f>
        <v>Negative</v>
      </c>
      <c r="C678" s="195" t="str">
        <f>C438</f>
        <v>BF</v>
      </c>
      <c r="D678" s="131">
        <f>IF(K598=0,J598,H598)/I598</f>
        <v>46.5647565327574</v>
      </c>
      <c r="E678" s="131">
        <f>0.95*SQRT(INPUT!$B$2*L598/(M518-0.3)/INPUT!AO24)</f>
        <v>0</v>
      </c>
      <c r="F678" s="131">
        <f>0.57*SQRT(INPUT!$B$2*L598/INPUT!AO24/M518)</f>
        <v>0</v>
      </c>
      <c r="G678" s="131">
        <f>IF(D678&lt;=F678,1*N358*INPUT!AO24*M518,IF(D678&lt;=E678,1*N358*INPUT!AO24*(M518-(M518-(M518-0.3)/N358)*((D678-F678)/(E678-F678))),0.9*INPUT!$B$2*1*L598/D678/D678))</f>
        <v>0</v>
      </c>
      <c r="H678" s="131">
        <f>IF(D678&lt;=1.12*SQRT(INPUT!$B$2*M598/INPUT!AO24),0.58*INPUT!AO24,IF(D678&lt;=1.4*SQRT(INPUT!$B$2*M598/INPUT!AO24),0.65*SQRT(INPUT!AO24*INPUT!$B$2*M598)/D678,0.9*INPUT!$B$2*M598/D678/D678))</f>
        <v>0</v>
      </c>
      <c r="I678" s="131">
        <f>L518</f>
        <v>-0.44053693654699411</v>
      </c>
      <c r="J678" s="454" t="e">
        <f>IF(C678="OF","OF",G678*SQRT(1-(I678/H678)^2))</f>
        <v>#DIV/0!</v>
      </c>
      <c r="M678" s="67"/>
    </row>
    <row r="679">
      <c r="A679" s="182">
        <f>A599</f>
        <v>101</v>
      </c>
      <c r="B679" s="131" t="str">
        <f>B599</f>
        <v>Negative</v>
      </c>
      <c r="C679" s="195" t="str">
        <f>C439</f>
        <v>BF</v>
      </c>
      <c r="D679" s="131">
        <f>IF(K599=0,J599,H599)/I599</f>
        <v>46.5647565327574</v>
      </c>
      <c r="E679" s="131">
        <f>0.95*SQRT(INPUT!$B$2*L599/(M519-0.3)/INPUT!AO25)</f>
        <v>0</v>
      </c>
      <c r="F679" s="131">
        <f>0.57*SQRT(INPUT!$B$2*L599/INPUT!AO25/M519)</f>
        <v>0</v>
      </c>
      <c r="G679" s="131">
        <f>IF(D679&lt;=F679,1*N359*INPUT!AO25*M519,IF(D679&lt;=E679,1*N359*INPUT!AO25*(M519-(M519-(M519-0.3)/N359)*((D679-F679)/(E679-F679))),0.9*INPUT!$B$2*1*L599/D679/D679))</f>
        <v>0</v>
      </c>
      <c r="H679" s="131">
        <f>IF(D679&lt;=1.12*SQRT(INPUT!$B$2*M599/INPUT!AO25),0.58*INPUT!AO25,IF(D679&lt;=1.4*SQRT(INPUT!$B$2*M599/INPUT!AO25),0.65*SQRT(INPUT!AO25*INPUT!$B$2*M599)/D679,0.9*INPUT!$B$2*M599/D679/D679))</f>
        <v>0</v>
      </c>
      <c r="I679" s="131">
        <f>L519</f>
        <v>-0.44053693654699411</v>
      </c>
      <c r="J679" s="454" t="e">
        <f>IF(C679="OF","OF",G679*SQRT(1-(I679/H679)^2))</f>
        <v>#DIV/0!</v>
      </c>
      <c r="M679" s="67"/>
    </row>
    <row r="680">
      <c r="A680" s="182">
        <f>A600</f>
        <v>101</v>
      </c>
      <c r="B680" s="131" t="str">
        <f>B600</f>
        <v>Negative</v>
      </c>
      <c r="C680" s="195" t="str">
        <f>C440</f>
        <v>BF</v>
      </c>
      <c r="D680" s="131">
        <f>IF(K600=0,J600,H600)/I600</f>
        <v>46.5647565327574</v>
      </c>
      <c r="E680" s="131">
        <f>0.95*SQRT(INPUT!$B$2*L600/(M520-0.3)/INPUT!AO26)</f>
        <v>0</v>
      </c>
      <c r="F680" s="131">
        <f>0.57*SQRT(INPUT!$B$2*L600/INPUT!AO26/M520)</f>
        <v>0</v>
      </c>
      <c r="G680" s="131">
        <f>IF(D680&lt;=F680,1*N360*INPUT!AO26*M520,IF(D680&lt;=E680,1*N360*INPUT!AO26*(M520-(M520-(M520-0.3)/N360)*((D680-F680)/(E680-F680))),0.9*INPUT!$B$2*1*L600/D680/D680))</f>
        <v>0</v>
      </c>
      <c r="H680" s="131">
        <f>IF(D680&lt;=1.12*SQRT(INPUT!$B$2*M600/INPUT!AO26),0.58*INPUT!AO26,IF(D680&lt;=1.4*SQRT(INPUT!$B$2*M600/INPUT!AO26),0.65*SQRT(INPUT!AO26*INPUT!$B$2*M600)/D680,0.9*INPUT!$B$2*M600/D680/D680))</f>
        <v>0</v>
      </c>
      <c r="I680" s="131">
        <f>L520</f>
        <v>-0.44053693654699411</v>
      </c>
      <c r="J680" s="454" t="e">
        <f>IF(C680="OF","OF",G680*SQRT(1-(I680/H680)^2))</f>
        <v>#DIV/0!</v>
      </c>
      <c r="M680" s="67"/>
    </row>
    <row r="681">
      <c r="A681" s="182">
        <f>A601</f>
        <v>101</v>
      </c>
      <c r="B681" s="131" t="str">
        <f>B601</f>
        <v>Negative</v>
      </c>
      <c r="C681" s="195" t="str">
        <f>C441</f>
        <v>BF</v>
      </c>
      <c r="D681" s="131">
        <f>IF(K601=0,J601,H601)/I601</f>
        <v>46.5647565327574</v>
      </c>
      <c r="E681" s="131">
        <f>0.95*SQRT(INPUT!$B$2*L601/(M521-0.3)/INPUT!AO27)</f>
        <v>0</v>
      </c>
      <c r="F681" s="131">
        <f>0.57*SQRT(INPUT!$B$2*L601/INPUT!AO27/M521)</f>
        <v>0</v>
      </c>
      <c r="G681" s="131">
        <f>IF(D681&lt;=F681,1*N361*INPUT!AO27*M521,IF(D681&lt;=E681,1*N361*INPUT!AO27*(M521-(M521-(M521-0.3)/N361)*((D681-F681)/(E681-F681))),0.9*INPUT!$B$2*1*L601/D681/D681))</f>
        <v>0</v>
      </c>
      <c r="H681" s="131">
        <f>IF(D681&lt;=1.12*SQRT(INPUT!$B$2*M601/INPUT!AO27),0.58*INPUT!AO27,IF(D681&lt;=1.4*SQRT(INPUT!$B$2*M601/INPUT!AO27),0.65*SQRT(INPUT!AO27*INPUT!$B$2*M601)/D681,0.9*INPUT!$B$2*M601/D681/D681))</f>
        <v>0</v>
      </c>
      <c r="I681" s="131">
        <f>L521</f>
        <v>-0.44053693654699411</v>
      </c>
      <c r="J681" s="454" t="e">
        <f>IF(C681="OF","OF",G681*SQRT(1-(I681/H681)^2))</f>
        <v>#DIV/0!</v>
      </c>
      <c r="M681" s="67"/>
    </row>
    <row r="682">
      <c r="A682" s="182">
        <f>A602</f>
        <v>101</v>
      </c>
      <c r="B682" s="131" t="str">
        <f>B602</f>
        <v>Negative</v>
      </c>
      <c r="C682" s="195" t="str">
        <f>C442</f>
        <v>BF</v>
      </c>
      <c r="D682" s="131">
        <f>IF(K602=0,J602,H602)/I602</f>
        <v>46.5647565327574</v>
      </c>
      <c r="E682" s="131">
        <f>0.95*SQRT(INPUT!$B$2*L602/(M522-0.3)/INPUT!AO28)</f>
        <v>0</v>
      </c>
      <c r="F682" s="131">
        <f>0.57*SQRT(INPUT!$B$2*L602/INPUT!AO28/M522)</f>
        <v>0</v>
      </c>
      <c r="G682" s="131">
        <f>IF(D682&lt;=F682,1*N362*INPUT!AO28*M522,IF(D682&lt;=E682,1*N362*INPUT!AO28*(M522-(M522-(M522-0.3)/N362)*((D682-F682)/(E682-F682))),0.9*INPUT!$B$2*1*L602/D682/D682))</f>
        <v>0</v>
      </c>
      <c r="H682" s="131">
        <f>IF(D682&lt;=1.12*SQRT(INPUT!$B$2*M602/INPUT!AO28),0.58*INPUT!AO28,IF(D682&lt;=1.4*SQRT(INPUT!$B$2*M602/INPUT!AO28),0.65*SQRT(INPUT!AO28*INPUT!$B$2*M602)/D682,0.9*INPUT!$B$2*M602/D682/D682))</f>
        <v>0</v>
      </c>
      <c r="I682" s="131">
        <f>L522</f>
        <v>-0.44053693654699411</v>
      </c>
      <c r="J682" s="454" t="e">
        <f>IF(C682="OF","OF",G682*SQRT(1-(I682/H682)^2))</f>
        <v>#DIV/0!</v>
      </c>
      <c r="M682" s="67"/>
    </row>
    <row r="683">
      <c r="A683" s="182">
        <f>A603</f>
        <v>101</v>
      </c>
      <c r="B683" s="131" t="str">
        <f>B603</f>
        <v>Negative</v>
      </c>
      <c r="C683" s="195" t="str">
        <f>C443</f>
        <v>BF</v>
      </c>
      <c r="D683" s="131">
        <f>IF(K603=0,J603,H603)/I603</f>
        <v>46.5647565327574</v>
      </c>
      <c r="E683" s="131">
        <f>0.95*SQRT(INPUT!$B$2*L603/(M523-0.3)/INPUT!AO29)</f>
        <v>0</v>
      </c>
      <c r="F683" s="131">
        <f>0.57*SQRT(INPUT!$B$2*L603/INPUT!AO29/M523)</f>
        <v>0</v>
      </c>
      <c r="G683" s="131">
        <f>IF(D683&lt;=F683,1*N363*INPUT!AO29*M523,IF(D683&lt;=E683,1*N363*INPUT!AO29*(M523-(M523-(M523-0.3)/N363)*((D683-F683)/(E683-F683))),0.9*INPUT!$B$2*1*L603/D683/D683))</f>
        <v>0</v>
      </c>
      <c r="H683" s="131">
        <f>IF(D683&lt;=1.12*SQRT(INPUT!$B$2*M603/INPUT!AO29),0.58*INPUT!AO29,IF(D683&lt;=1.4*SQRT(INPUT!$B$2*M603/INPUT!AO29),0.65*SQRT(INPUT!AO29*INPUT!$B$2*M603)/D683,0.9*INPUT!$B$2*M603/D683/D683))</f>
        <v>0</v>
      </c>
      <c r="I683" s="131">
        <f>L523</f>
        <v>-0.44053693654699411</v>
      </c>
      <c r="J683" s="454" t="e">
        <f>IF(C683="OF","OF",G683*SQRT(1-(I683/H683)^2))</f>
        <v>#DIV/0!</v>
      </c>
      <c r="M683" s="67"/>
    </row>
    <row r="684">
      <c r="A684" s="182">
        <f>A604</f>
        <v>101</v>
      </c>
      <c r="B684" s="131" t="str">
        <f>B604</f>
        <v>Negative</v>
      </c>
      <c r="C684" s="195" t="str">
        <f>C444</f>
        <v>BF</v>
      </c>
      <c r="D684" s="131">
        <f>IF(K604=0,J604,H604)/I604</f>
        <v>46.5647565327574</v>
      </c>
      <c r="E684" s="131">
        <f>0.95*SQRT(INPUT!$B$2*L604/(M524-0.3)/INPUT!AO30)</f>
        <v>0</v>
      </c>
      <c r="F684" s="131">
        <f>0.57*SQRT(INPUT!$B$2*L604/INPUT!AO30/M524)</f>
        <v>0</v>
      </c>
      <c r="G684" s="131">
        <f>IF(D684&lt;=F684,1*N364*INPUT!AO30*M524,IF(D684&lt;=E684,1*N364*INPUT!AO30*(M524-(M524-(M524-0.3)/N364)*((D684-F684)/(E684-F684))),0.9*INPUT!$B$2*1*L604/D684/D684))</f>
        <v>0</v>
      </c>
      <c r="H684" s="131">
        <f>IF(D684&lt;=1.12*SQRT(INPUT!$B$2*M604/INPUT!AO30),0.58*INPUT!AO30,IF(D684&lt;=1.4*SQRT(INPUT!$B$2*M604/INPUT!AO30),0.65*SQRT(INPUT!AO30*INPUT!$B$2*M604)/D684,0.9*INPUT!$B$2*M604/D684/D684))</f>
        <v>0</v>
      </c>
      <c r="I684" s="131">
        <f>L524</f>
        <v>-0.44053693654699411</v>
      </c>
      <c r="J684" s="454" t="e">
        <f>IF(C684="OF","OF",G684*SQRT(1-(I684/H684)^2))</f>
        <v>#DIV/0!</v>
      </c>
      <c r="M684" s="67"/>
    </row>
    <row r="685">
      <c r="A685" s="182">
        <f>A605</f>
        <v>101</v>
      </c>
      <c r="B685" s="131" t="str">
        <f>B605</f>
        <v>Negative</v>
      </c>
      <c r="C685" s="195" t="str">
        <f>C445</f>
        <v>BF</v>
      </c>
      <c r="D685" s="131">
        <f>IF(K605=0,J605,H605)/I605</f>
        <v>46.5647565327574</v>
      </c>
      <c r="E685" s="131">
        <f>0.95*SQRT(INPUT!$B$2*L605/(M525-0.3)/INPUT!AO31)</f>
        <v>0</v>
      </c>
      <c r="F685" s="131">
        <f>0.57*SQRT(INPUT!$B$2*L605/INPUT!AO31/M525)</f>
        <v>0</v>
      </c>
      <c r="G685" s="131">
        <f>IF(D685&lt;=F685,1*N365*INPUT!AO31*M525,IF(D685&lt;=E685,1*N365*INPUT!AO31*(M525-(M525-(M525-0.3)/N365)*((D685-F685)/(E685-F685))),0.9*INPUT!$B$2*1*L605/D685/D685))</f>
        <v>0</v>
      </c>
      <c r="H685" s="131">
        <f>IF(D685&lt;=1.12*SQRT(INPUT!$B$2*M605/INPUT!AO31),0.58*INPUT!AO31,IF(D685&lt;=1.4*SQRT(INPUT!$B$2*M605/INPUT!AO31),0.65*SQRT(INPUT!AO31*INPUT!$B$2*M605)/D685,0.9*INPUT!$B$2*M605/D685/D685))</f>
        <v>0</v>
      </c>
      <c r="I685" s="131">
        <f>L525</f>
        <v>-0.44053693654699411</v>
      </c>
      <c r="J685" s="454" t="e">
        <f>IF(C685="OF","OF",G685*SQRT(1-(I685/H685)^2))</f>
        <v>#DIV/0!</v>
      </c>
      <c r="M685" s="67"/>
    </row>
    <row r="686">
      <c r="A686" s="182">
        <f>A606</f>
        <v>101</v>
      </c>
      <c r="B686" s="131" t="str">
        <f>B606</f>
        <v>Negative</v>
      </c>
      <c r="C686" s="195" t="str">
        <f>C446</f>
        <v>BF</v>
      </c>
      <c r="D686" s="131">
        <f>IF(K606=0,J606,H606)/I606</f>
        <v>46.5647565327574</v>
      </c>
      <c r="E686" s="131">
        <f>0.95*SQRT(INPUT!$B$2*L606/(M526-0.3)/INPUT!AO32)</f>
        <v>0</v>
      </c>
      <c r="F686" s="131">
        <f>0.57*SQRT(INPUT!$B$2*L606/INPUT!AO32/M526)</f>
        <v>0</v>
      </c>
      <c r="G686" s="131">
        <f>IF(D686&lt;=F686,1*N366*INPUT!AO32*M526,IF(D686&lt;=E686,1*N366*INPUT!AO32*(M526-(M526-(M526-0.3)/N366)*((D686-F686)/(E686-F686))),0.9*INPUT!$B$2*1*L606/D686/D686))</f>
        <v>0</v>
      </c>
      <c r="H686" s="131">
        <f>IF(D686&lt;=1.12*SQRT(INPUT!$B$2*M606/INPUT!AO32),0.58*INPUT!AO32,IF(D686&lt;=1.4*SQRT(INPUT!$B$2*M606/INPUT!AO32),0.65*SQRT(INPUT!AO32*INPUT!$B$2*M606)/D686,0.9*INPUT!$B$2*M606/D686/D686))</f>
        <v>0</v>
      </c>
      <c r="I686" s="131">
        <f>L526</f>
        <v>-0.44053693654699411</v>
      </c>
      <c r="J686" s="454" t="e">
        <f>IF(C686="OF","OF",G686*SQRT(1-(I686/H686)^2))</f>
        <v>#DIV/0!</v>
      </c>
      <c r="M686" s="67"/>
    </row>
    <row r="687">
      <c r="A687" s="182">
        <f>A607</f>
        <v>101</v>
      </c>
      <c r="B687" s="131" t="str">
        <f>B607</f>
        <v>Negative</v>
      </c>
      <c r="C687" s="195" t="str">
        <f>C447</f>
        <v>BF</v>
      </c>
      <c r="D687" s="131">
        <f>IF(K607=0,J607,H607)/I607</f>
        <v>46.5647565327574</v>
      </c>
      <c r="E687" s="131">
        <f>0.95*SQRT(INPUT!$B$2*L607/(M527-0.3)/INPUT!AO33)</f>
        <v>0</v>
      </c>
      <c r="F687" s="131">
        <f>0.57*SQRT(INPUT!$B$2*L607/INPUT!AO33/M527)</f>
        <v>0</v>
      </c>
      <c r="G687" s="131">
        <f>IF(D687&lt;=F687,1*N367*INPUT!AO33*M527,IF(D687&lt;=E687,1*N367*INPUT!AO33*(M527-(M527-(M527-0.3)/N367)*((D687-F687)/(E687-F687))),0.9*INPUT!$B$2*1*L607/D687/D687))</f>
        <v>0</v>
      </c>
      <c r="H687" s="131">
        <f>IF(D687&lt;=1.12*SQRT(INPUT!$B$2*M607/INPUT!AO33),0.58*INPUT!AO33,IF(D687&lt;=1.4*SQRT(INPUT!$B$2*M607/INPUT!AO33),0.65*SQRT(INPUT!AO33*INPUT!$B$2*M607)/D687,0.9*INPUT!$B$2*M607/D687/D687))</f>
        <v>0</v>
      </c>
      <c r="I687" s="131">
        <f>L527</f>
        <v>-0.44053693654699411</v>
      </c>
      <c r="J687" s="454" t="e">
        <f>IF(C687="OF","OF",G687*SQRT(1-(I687/H687)^2))</f>
        <v>#DIV/0!</v>
      </c>
      <c r="M687" s="67"/>
    </row>
    <row r="688">
      <c r="A688" s="182">
        <f>A608</f>
        <v>101</v>
      </c>
      <c r="B688" s="131" t="str">
        <f>B608</f>
        <v>Negative</v>
      </c>
      <c r="C688" s="195" t="str">
        <f>C448</f>
        <v>BF</v>
      </c>
      <c r="D688" s="131">
        <f>IF(K608=0,J608,H608)/I608</f>
        <v>46.5647565327574</v>
      </c>
      <c r="E688" s="131">
        <f>0.95*SQRT(INPUT!$B$2*L608/(M528-0.3)/INPUT!AO34)</f>
        <v>0</v>
      </c>
      <c r="F688" s="131">
        <f>0.57*SQRT(INPUT!$B$2*L608/INPUT!AO34/M528)</f>
        <v>0</v>
      </c>
      <c r="G688" s="131">
        <f>IF(D688&lt;=F688,1*N368*INPUT!AO34*M528,IF(D688&lt;=E688,1*N368*INPUT!AO34*(M528-(M528-(M528-0.3)/N368)*((D688-F688)/(E688-F688))),0.9*INPUT!$B$2*1*L608/D688/D688))</f>
        <v>0</v>
      </c>
      <c r="H688" s="131">
        <f>IF(D688&lt;=1.12*SQRT(INPUT!$B$2*M608/INPUT!AO34),0.58*INPUT!AO34,IF(D688&lt;=1.4*SQRT(INPUT!$B$2*M608/INPUT!AO34),0.65*SQRT(INPUT!AO34*INPUT!$B$2*M608)/D688,0.9*INPUT!$B$2*M608/D688/D688))</f>
        <v>0</v>
      </c>
      <c r="I688" s="131">
        <f>L528</f>
        <v>-0.44053693654699411</v>
      </c>
      <c r="J688" s="454" t="e">
        <f>IF(C688="OF","OF",G688*SQRT(1-(I688/H688)^2))</f>
        <v>#DIV/0!</v>
      </c>
      <c r="M688" s="67"/>
    </row>
    <row r="689">
      <c r="A689" s="182">
        <f>A609</f>
        <v>101</v>
      </c>
      <c r="B689" s="131" t="str">
        <f>B609</f>
        <v>Negative</v>
      </c>
      <c r="C689" s="195" t="str">
        <f>C449</f>
        <v>BF</v>
      </c>
      <c r="D689" s="131">
        <f>IF(K609=0,J609,H609)/I609</f>
        <v>46.5647565327574</v>
      </c>
      <c r="E689" s="131">
        <f>0.95*SQRT(INPUT!$B$2*L609/(M529-0.3)/INPUT!AO35)</f>
        <v>0</v>
      </c>
      <c r="F689" s="131">
        <f>0.57*SQRT(INPUT!$B$2*L609/INPUT!AO35/M529)</f>
        <v>0</v>
      </c>
      <c r="G689" s="131">
        <f>IF(D689&lt;=F689,1*N369*INPUT!AO35*M529,IF(D689&lt;=E689,1*N369*INPUT!AO35*(M529-(M529-(M529-0.3)/N369)*((D689-F689)/(E689-F689))),0.9*INPUT!$B$2*1*L609/D689/D689))</f>
        <v>0</v>
      </c>
      <c r="H689" s="131">
        <f>IF(D689&lt;=1.12*SQRT(INPUT!$B$2*M609/INPUT!AO35),0.58*INPUT!AO35,IF(D689&lt;=1.4*SQRT(INPUT!$B$2*M609/INPUT!AO35),0.65*SQRT(INPUT!AO35*INPUT!$B$2*M609)/D689,0.9*INPUT!$B$2*M609/D689/D689))</f>
        <v>0</v>
      </c>
      <c r="I689" s="131">
        <f>L529</f>
        <v>-0.44053693654699411</v>
      </c>
      <c r="J689" s="454" t="e">
        <f>IF(C689="OF","OF",G689*SQRT(1-(I689/H689)^2))</f>
        <v>#DIV/0!</v>
      </c>
      <c r="M689" s="67"/>
    </row>
    <row r="690">
      <c r="A690" s="182">
        <f>A610</f>
        <v>101</v>
      </c>
      <c r="B690" s="131" t="str">
        <f>B610</f>
        <v>Negative</v>
      </c>
      <c r="C690" s="195" t="str">
        <f>C450</f>
        <v>BF</v>
      </c>
      <c r="D690" s="131">
        <f>IF(K610=0,J610,H610)/I610</f>
        <v>46.5647565327574</v>
      </c>
      <c r="E690" s="131">
        <f>0.95*SQRT(INPUT!$B$2*L610/(M530-0.3)/INPUT!AO36)</f>
        <v>0</v>
      </c>
      <c r="F690" s="131">
        <f>0.57*SQRT(INPUT!$B$2*L610/INPUT!AO36/M530)</f>
        <v>0</v>
      </c>
      <c r="G690" s="131">
        <f>IF(D690&lt;=F690,1*N370*INPUT!AO36*M530,IF(D690&lt;=E690,1*N370*INPUT!AO36*(M530-(M530-(M530-0.3)/N370)*((D690-F690)/(E690-F690))),0.9*INPUT!$B$2*1*L610/D690/D690))</f>
        <v>0</v>
      </c>
      <c r="H690" s="131">
        <f>IF(D690&lt;=1.12*SQRT(INPUT!$B$2*M610/INPUT!AO36),0.58*INPUT!AO36,IF(D690&lt;=1.4*SQRT(INPUT!$B$2*M610/INPUT!AO36),0.65*SQRT(INPUT!AO36*INPUT!$B$2*M610)/D690,0.9*INPUT!$B$2*M610/D690/D690))</f>
        <v>0</v>
      </c>
      <c r="I690" s="131">
        <f>L530</f>
        <v>-0.44053693654699411</v>
      </c>
      <c r="J690" s="454" t="e">
        <f>IF(C690="OF","OF",G690*SQRT(1-(I690/H690)^2))</f>
        <v>#DIV/0!</v>
      </c>
      <c r="M690" s="67"/>
    </row>
    <row r="691">
      <c r="A691" s="182">
        <f>A611</f>
        <v>101</v>
      </c>
      <c r="B691" s="131" t="str">
        <f>B611</f>
        <v>Negative</v>
      </c>
      <c r="C691" s="195" t="str">
        <f>C451</f>
        <v>BF</v>
      </c>
      <c r="D691" s="131">
        <f>IF(K611=0,J611,H611)/I611</f>
        <v>46.5647565327574</v>
      </c>
      <c r="E691" s="131">
        <f>0.95*SQRT(INPUT!$B$2*L611/(M531-0.3)/INPUT!AO37)</f>
        <v>0</v>
      </c>
      <c r="F691" s="131">
        <f>0.57*SQRT(INPUT!$B$2*L611/INPUT!AO37/M531)</f>
        <v>0</v>
      </c>
      <c r="G691" s="131">
        <f>IF(D691&lt;=F691,1*N371*INPUT!AO37*M531,IF(D691&lt;=E691,1*N371*INPUT!AO37*(M531-(M531-(M531-0.3)/N371)*((D691-F691)/(E691-F691))),0.9*INPUT!$B$2*1*L611/D691/D691))</f>
        <v>0</v>
      </c>
      <c r="H691" s="131">
        <f>IF(D691&lt;=1.12*SQRT(INPUT!$B$2*M611/INPUT!AO37),0.58*INPUT!AO37,IF(D691&lt;=1.4*SQRT(INPUT!$B$2*M611/INPUT!AO37),0.65*SQRT(INPUT!AO37*INPUT!$B$2*M611)/D691,0.9*INPUT!$B$2*M611/D691/D691))</f>
        <v>0</v>
      </c>
      <c r="I691" s="131">
        <f>L531</f>
        <v>-0.44053693654699411</v>
      </c>
      <c r="J691" s="454" t="e">
        <f>IF(C691="OF","OF",G691*SQRT(1-(I691/H691)^2))</f>
        <v>#DIV/0!</v>
      </c>
      <c r="M691" s="67"/>
    </row>
    <row r="692">
      <c r="A692" s="182">
        <f>A612</f>
        <v>101</v>
      </c>
      <c r="B692" s="131" t="str">
        <f>B612</f>
        <v>Negative</v>
      </c>
      <c r="C692" s="195" t="str">
        <f>C452</f>
        <v>BF</v>
      </c>
      <c r="D692" s="131">
        <f>IF(K612=0,J612,H612)/I612</f>
        <v>46.5647565327574</v>
      </c>
      <c r="E692" s="131">
        <f>0.95*SQRT(INPUT!$B$2*L612/(M532-0.3)/INPUT!AO38)</f>
        <v>0</v>
      </c>
      <c r="F692" s="131">
        <f>0.57*SQRT(INPUT!$B$2*L612/INPUT!AO38/M532)</f>
        <v>0</v>
      </c>
      <c r="G692" s="131">
        <f>IF(D692&lt;=F692,1*N372*INPUT!AO38*M532,IF(D692&lt;=E692,1*N372*INPUT!AO38*(M532-(M532-(M532-0.3)/N372)*((D692-F692)/(E692-F692))),0.9*INPUT!$B$2*1*L612/D692/D692))</f>
        <v>0</v>
      </c>
      <c r="H692" s="131">
        <f>IF(D692&lt;=1.12*SQRT(INPUT!$B$2*M612/INPUT!AO38),0.58*INPUT!AO38,IF(D692&lt;=1.4*SQRT(INPUT!$B$2*M612/INPUT!AO38),0.65*SQRT(INPUT!AO38*INPUT!$B$2*M612)/D692,0.9*INPUT!$B$2*M612/D692/D692))</f>
        <v>0</v>
      </c>
      <c r="I692" s="131">
        <f>L532</f>
        <v>-0.44053693654699411</v>
      </c>
      <c r="J692" s="454" t="e">
        <f>IF(C692="OF","OF",G692*SQRT(1-(I692/H692)^2))</f>
        <v>#DIV/0!</v>
      </c>
      <c r="M692" s="67"/>
    </row>
    <row r="693">
      <c r="A693" s="182">
        <f>A613</f>
        <v>101</v>
      </c>
      <c r="B693" s="131" t="str">
        <f>B613</f>
        <v>Negative</v>
      </c>
      <c r="C693" s="195" t="str">
        <f>C453</f>
        <v>BF</v>
      </c>
      <c r="D693" s="131">
        <f>IF(K613=0,J613,H613)/I613</f>
        <v>46.5647565327574</v>
      </c>
      <c r="E693" s="131">
        <f>0.95*SQRT(INPUT!$B$2*L613/(M533-0.3)/INPUT!AO39)</f>
        <v>0</v>
      </c>
      <c r="F693" s="131">
        <f>0.57*SQRT(INPUT!$B$2*L613/INPUT!AO39/M533)</f>
        <v>0</v>
      </c>
      <c r="G693" s="131">
        <f>IF(D693&lt;=F693,1*N373*INPUT!AO39*M533,IF(D693&lt;=E693,1*N373*INPUT!AO39*(M533-(M533-(M533-0.3)/N373)*((D693-F693)/(E693-F693))),0.9*INPUT!$B$2*1*L613/D693/D693))</f>
        <v>0</v>
      </c>
      <c r="H693" s="131">
        <f>IF(D693&lt;=1.12*SQRT(INPUT!$B$2*M613/INPUT!AO39),0.58*INPUT!AO39,IF(D693&lt;=1.4*SQRT(INPUT!$B$2*M613/INPUT!AO39),0.65*SQRT(INPUT!AO39*INPUT!$B$2*M613)/D693,0.9*INPUT!$B$2*M613/D693/D693))</f>
        <v>0</v>
      </c>
      <c r="I693" s="131">
        <f>L533</f>
        <v>-0.44053693654699411</v>
      </c>
      <c r="J693" s="454" t="e">
        <f>IF(C693="OF","OF",G693*SQRT(1-(I693/H693)^2))</f>
        <v>#DIV/0!</v>
      </c>
      <c r="M693" s="67"/>
    </row>
    <row r="694">
      <c r="A694" s="182">
        <f>A614</f>
        <v>101</v>
      </c>
      <c r="B694" s="131" t="str">
        <f>B614</f>
        <v>Negative</v>
      </c>
      <c r="C694" s="195" t="str">
        <f>C454</f>
        <v>BF</v>
      </c>
      <c r="D694" s="131">
        <f>IF(K614=0,J614,H614)/I614</f>
        <v>46.5647565327574</v>
      </c>
      <c r="E694" s="131">
        <f>0.95*SQRT(INPUT!$B$2*L614/(M534-0.3)/INPUT!AO40)</f>
        <v>0</v>
      </c>
      <c r="F694" s="131">
        <f>0.57*SQRT(INPUT!$B$2*L614/INPUT!AO40/M534)</f>
        <v>0</v>
      </c>
      <c r="G694" s="131">
        <f>IF(D694&lt;=F694,1*N374*INPUT!AO40*M534,IF(D694&lt;=E694,1*N374*INPUT!AO40*(M534-(M534-(M534-0.3)/N374)*((D694-F694)/(E694-F694))),0.9*INPUT!$B$2*1*L614/D694/D694))</f>
        <v>0</v>
      </c>
      <c r="H694" s="131">
        <f>IF(D694&lt;=1.12*SQRT(INPUT!$B$2*M614/INPUT!AO40),0.58*INPUT!AO40,IF(D694&lt;=1.4*SQRT(INPUT!$B$2*M614/INPUT!AO40),0.65*SQRT(INPUT!AO40*INPUT!$B$2*M614)/D694,0.9*INPUT!$B$2*M614/D694/D694))</f>
        <v>0</v>
      </c>
      <c r="I694" s="131">
        <f>L534</f>
        <v>-0.44053693654699411</v>
      </c>
      <c r="J694" s="454" t="e">
        <f>IF(C694="OF","OF",G694*SQRT(1-(I694/H694)^2))</f>
        <v>#DIV/0!</v>
      </c>
      <c r="M694" s="67"/>
    </row>
    <row r="695">
      <c r="A695" s="182">
        <f>A615</f>
        <v>101</v>
      </c>
      <c r="B695" s="131" t="str">
        <f>B615</f>
        <v>Negative</v>
      </c>
      <c r="C695" s="195" t="str">
        <f>C455</f>
        <v>BF</v>
      </c>
      <c r="D695" s="131">
        <f>IF(K615=0,J615,H615)/I615</f>
        <v>46.5647565327574</v>
      </c>
      <c r="E695" s="131">
        <f>0.95*SQRT(INPUT!$B$2*L615/(M535-0.3)/INPUT!AO41)</f>
        <v>0</v>
      </c>
      <c r="F695" s="131">
        <f>0.57*SQRT(INPUT!$B$2*L615/INPUT!AO41/M535)</f>
        <v>0</v>
      </c>
      <c r="G695" s="131">
        <f>IF(D695&lt;=F695,1*N375*INPUT!AO41*M535,IF(D695&lt;=E695,1*N375*INPUT!AO41*(M535-(M535-(M535-0.3)/N375)*((D695-F695)/(E695-F695))),0.9*INPUT!$B$2*1*L615/D695/D695))</f>
        <v>0</v>
      </c>
      <c r="H695" s="131">
        <f>IF(D695&lt;=1.12*SQRT(INPUT!$B$2*M615/INPUT!AO41),0.58*INPUT!AO41,IF(D695&lt;=1.4*SQRT(INPUT!$B$2*M615/INPUT!AO41),0.65*SQRT(INPUT!AO41*INPUT!$B$2*M615)/D695,0.9*INPUT!$B$2*M615/D695/D695))</f>
        <v>0</v>
      </c>
      <c r="I695" s="131">
        <f>L535</f>
        <v>-0.44053693654699411</v>
      </c>
      <c r="J695" s="454" t="e">
        <f>IF(C695="OF","OF",G695*SQRT(1-(I695/H695)^2))</f>
        <v>#DIV/0!</v>
      </c>
      <c r="M695" s="67"/>
    </row>
    <row r="696">
      <c r="A696" s="182">
        <f>A616</f>
        <v>101</v>
      </c>
      <c r="B696" s="131" t="str">
        <f>B616</f>
        <v>Negative</v>
      </c>
      <c r="C696" s="195" t="str">
        <f>C456</f>
        <v>BF</v>
      </c>
      <c r="D696" s="131">
        <f>IF(K616=0,J616,H616)/I616</f>
        <v>46.5647565327574</v>
      </c>
      <c r="E696" s="131">
        <f>0.95*SQRT(INPUT!$B$2*L616/(M536-0.3)/INPUT!AO42)</f>
        <v>0</v>
      </c>
      <c r="F696" s="131">
        <f>0.57*SQRT(INPUT!$B$2*L616/INPUT!AO42/M536)</f>
        <v>0</v>
      </c>
      <c r="G696" s="131">
        <f>IF(D696&lt;=F696,1*N376*INPUT!AO42*M536,IF(D696&lt;=E696,1*N376*INPUT!AO42*(M536-(M536-(M536-0.3)/N376)*((D696-F696)/(E696-F696))),0.9*INPUT!$B$2*1*L616/D696/D696))</f>
        <v>0</v>
      </c>
      <c r="H696" s="131">
        <f>IF(D696&lt;=1.12*SQRT(INPUT!$B$2*M616/INPUT!AO42),0.58*INPUT!AO42,IF(D696&lt;=1.4*SQRT(INPUT!$B$2*M616/INPUT!AO42),0.65*SQRT(INPUT!AO42*INPUT!$B$2*M616)/D696,0.9*INPUT!$B$2*M616/D696/D696))</f>
        <v>0</v>
      </c>
      <c r="I696" s="131">
        <f>L536</f>
        <v>-0.44053693654699411</v>
      </c>
      <c r="J696" s="454" t="e">
        <f>IF(C696="OF","OF",G696*SQRT(1-(I696/H696)^2))</f>
        <v>#DIV/0!</v>
      </c>
      <c r="M696" s="67"/>
    </row>
    <row r="697">
      <c r="A697" s="182">
        <f>A617</f>
        <v>101</v>
      </c>
      <c r="B697" s="131" t="str">
        <f>B617</f>
        <v>Negative</v>
      </c>
      <c r="C697" s="195" t="str">
        <f>C457</f>
        <v>BF</v>
      </c>
      <c r="D697" s="131">
        <f>IF(K617=0,J617,H617)/I617</f>
        <v>46.5647565327574</v>
      </c>
      <c r="E697" s="131">
        <f>0.95*SQRT(INPUT!$B$2*L617/(M537-0.3)/INPUT!AO43)</f>
        <v>0</v>
      </c>
      <c r="F697" s="131">
        <f>0.57*SQRT(INPUT!$B$2*L617/INPUT!AO43/M537)</f>
        <v>0</v>
      </c>
      <c r="G697" s="131">
        <f>IF(D697&lt;=F697,1*N377*INPUT!AO43*M537,IF(D697&lt;=E697,1*N377*INPUT!AO43*(M537-(M537-(M537-0.3)/N377)*((D697-F697)/(E697-F697))),0.9*INPUT!$B$2*1*L617/D697/D697))</f>
        <v>0</v>
      </c>
      <c r="H697" s="131">
        <f>IF(D697&lt;=1.12*SQRT(INPUT!$B$2*M617/INPUT!AO43),0.58*INPUT!AO43,IF(D697&lt;=1.4*SQRT(INPUT!$B$2*M617/INPUT!AO43),0.65*SQRT(INPUT!AO43*INPUT!$B$2*M617)/D697,0.9*INPUT!$B$2*M617/D697/D697))</f>
        <v>0</v>
      </c>
      <c r="I697" s="131">
        <f>L537</f>
        <v>-0.44053693654699411</v>
      </c>
      <c r="J697" s="454" t="e">
        <f>IF(C697="OF","OF",G697*SQRT(1-(I697/H697)^2))</f>
        <v>#DIV/0!</v>
      </c>
      <c r="M697" s="67"/>
    </row>
    <row r="698">
      <c r="A698" s="182">
        <f>A618</f>
        <v>101</v>
      </c>
      <c r="B698" s="131" t="str">
        <f>B618</f>
        <v>Negative</v>
      </c>
      <c r="C698" s="195" t="str">
        <f>C458</f>
        <v>BF</v>
      </c>
      <c r="D698" s="131">
        <f>IF(K618=0,J618,H618)/I618</f>
        <v>46.5647565327574</v>
      </c>
      <c r="E698" s="131">
        <f>0.95*SQRT(INPUT!$B$2*L618/(M538-0.3)/INPUT!AO44)</f>
        <v>0</v>
      </c>
      <c r="F698" s="131">
        <f>0.57*SQRT(INPUT!$B$2*L618/INPUT!AO44/M538)</f>
        <v>0</v>
      </c>
      <c r="G698" s="131">
        <f>IF(D698&lt;=F698,1*N378*INPUT!AO44*M538,IF(D698&lt;=E698,1*N378*INPUT!AO44*(M538-(M538-(M538-0.3)/N378)*((D698-F698)/(E698-F698))),0.9*INPUT!$B$2*1*L618/D698/D698))</f>
        <v>0</v>
      </c>
      <c r="H698" s="131">
        <f>IF(D698&lt;=1.12*SQRT(INPUT!$B$2*M618/INPUT!AO44),0.58*INPUT!AO44,IF(D698&lt;=1.4*SQRT(INPUT!$B$2*M618/INPUT!AO44),0.65*SQRT(INPUT!AO44*INPUT!$B$2*M618)/D698,0.9*INPUT!$B$2*M618/D698/D698))</f>
        <v>0</v>
      </c>
      <c r="I698" s="131">
        <f>L538</f>
        <v>-0.44053693654699411</v>
      </c>
      <c r="J698" s="454" t="e">
        <f>IF(C698="OF","OF",G698*SQRT(1-(I698/H698)^2))</f>
        <v>#DIV/0!</v>
      </c>
      <c r="M698" s="67"/>
    </row>
    <row r="699">
      <c r="A699" s="182">
        <f>A619</f>
        <v>101</v>
      </c>
      <c r="B699" s="131" t="str">
        <f>B619</f>
        <v>Negative</v>
      </c>
      <c r="C699" s="195" t="str">
        <f>C459</f>
        <v>BF</v>
      </c>
      <c r="D699" s="131">
        <f>IF(K619=0,J619,H619)/I619</f>
        <v>46.5647565327574</v>
      </c>
      <c r="E699" s="131">
        <f>0.95*SQRT(INPUT!$B$2*L619/(M539-0.3)/INPUT!AO45)</f>
        <v>0</v>
      </c>
      <c r="F699" s="131">
        <f>0.57*SQRT(INPUT!$B$2*L619/INPUT!AO45/M539)</f>
        <v>0</v>
      </c>
      <c r="G699" s="131">
        <f>IF(D699&lt;=F699,1*N379*INPUT!AO45*M539,IF(D699&lt;=E699,1*N379*INPUT!AO45*(M539-(M539-(M539-0.3)/N379)*((D699-F699)/(E699-F699))),0.9*INPUT!$B$2*1*L619/D699/D699))</f>
        <v>0</v>
      </c>
      <c r="H699" s="131">
        <f>IF(D699&lt;=1.12*SQRT(INPUT!$B$2*M619/INPUT!AO45),0.58*INPUT!AO45,IF(D699&lt;=1.4*SQRT(INPUT!$B$2*M619/INPUT!AO45),0.65*SQRT(INPUT!AO45*INPUT!$B$2*M619)/D699,0.9*INPUT!$B$2*M619/D699/D699))</f>
        <v>0</v>
      </c>
      <c r="I699" s="131">
        <f>L539</f>
        <v>-0.44053693654699411</v>
      </c>
      <c r="J699" s="454" t="e">
        <f>IF(C699="OF","OF",G699*SQRT(1-(I699/H699)^2))</f>
        <v>#DIV/0!</v>
      </c>
      <c r="M699" s="67"/>
    </row>
    <row r="700">
      <c r="A700" s="182">
        <f>A620</f>
        <v>101</v>
      </c>
      <c r="B700" s="131" t="str">
        <f>B620</f>
        <v>Negative</v>
      </c>
      <c r="C700" s="195" t="str">
        <f>C460</f>
        <v>BF</v>
      </c>
      <c r="D700" s="131">
        <f>IF(K620=0,J620,H620)/I620</f>
        <v>46.5647565327574</v>
      </c>
      <c r="E700" s="131">
        <f>0.95*SQRT(INPUT!$B$2*L620/(M540-0.3)/INPUT!AO46)</f>
        <v>0</v>
      </c>
      <c r="F700" s="131">
        <f>0.57*SQRT(INPUT!$B$2*L620/INPUT!AO46/M540)</f>
        <v>0</v>
      </c>
      <c r="G700" s="131">
        <f>IF(D700&lt;=F700,1*N380*INPUT!AO46*M540,IF(D700&lt;=E700,1*N380*INPUT!AO46*(M540-(M540-(M540-0.3)/N380)*((D700-F700)/(E700-F700))),0.9*INPUT!$B$2*1*L620/D700/D700))</f>
        <v>0</v>
      </c>
      <c r="H700" s="131">
        <f>IF(D700&lt;=1.12*SQRT(INPUT!$B$2*M620/INPUT!AO46),0.58*INPUT!AO46,IF(D700&lt;=1.4*SQRT(INPUT!$B$2*M620/INPUT!AO46),0.65*SQRT(INPUT!AO46*INPUT!$B$2*M620)/D700,0.9*INPUT!$B$2*M620/D700/D700))</f>
        <v>0</v>
      </c>
      <c r="I700" s="131">
        <f>L540</f>
        <v>-0.44053693654699411</v>
      </c>
      <c r="J700" s="454" t="e">
        <f>IF(C700="OF","OF",G700*SQRT(1-(I700/H700)^2))</f>
        <v>#DIV/0!</v>
      </c>
      <c r="M700" s="67"/>
    </row>
    <row r="701">
      <c r="A701" s="182">
        <f>A621</f>
        <v>101</v>
      </c>
      <c r="B701" s="131" t="str">
        <f>B621</f>
        <v>Negative</v>
      </c>
      <c r="C701" s="195" t="str">
        <f>C461</f>
        <v>BF</v>
      </c>
      <c r="D701" s="131">
        <f>IF(K621=0,J621,H621)/I621</f>
        <v>46.5647565327574</v>
      </c>
      <c r="E701" s="131">
        <f>0.95*SQRT(INPUT!$B$2*L621/(M541-0.3)/INPUT!AO47)</f>
        <v>0</v>
      </c>
      <c r="F701" s="131">
        <f>0.57*SQRT(INPUT!$B$2*L621/INPUT!AO47/M541)</f>
        <v>0</v>
      </c>
      <c r="G701" s="131">
        <f>IF(D701&lt;=F701,1*N381*INPUT!AO47*M541,IF(D701&lt;=E701,1*N381*INPUT!AO47*(M541-(M541-(M541-0.3)/N381)*((D701-F701)/(E701-F701))),0.9*INPUT!$B$2*1*L621/D701/D701))</f>
        <v>0</v>
      </c>
      <c r="H701" s="131">
        <f>IF(D701&lt;=1.12*SQRT(INPUT!$B$2*M621/INPUT!AO47),0.58*INPUT!AO47,IF(D701&lt;=1.4*SQRT(INPUT!$B$2*M621/INPUT!AO47),0.65*SQRT(INPUT!AO47*INPUT!$B$2*M621)/D701,0.9*INPUT!$B$2*M621/D701/D701))</f>
        <v>0</v>
      </c>
      <c r="I701" s="131">
        <f>L541</f>
        <v>-0.44053693654699411</v>
      </c>
      <c r="J701" s="454" t="e">
        <f>IF(C701="OF","OF",G701*SQRT(1-(I701/H701)^2))</f>
        <v>#DIV/0!</v>
      </c>
      <c r="M701" s="67"/>
    </row>
    <row r="702">
      <c r="A702" s="182">
        <f>A622</f>
        <v>101</v>
      </c>
      <c r="B702" s="131" t="str">
        <f>B622</f>
        <v>Negative</v>
      </c>
      <c r="C702" s="195" t="str">
        <f>C462</f>
        <v>BF</v>
      </c>
      <c r="D702" s="131">
        <f>IF(K622=0,J622,H622)/I622</f>
        <v>46.5647565327574</v>
      </c>
      <c r="E702" s="131">
        <f>0.95*SQRT(INPUT!$B$2*L622/(M542-0.3)/INPUT!AO48)</f>
        <v>0</v>
      </c>
      <c r="F702" s="131">
        <f>0.57*SQRT(INPUT!$B$2*L622/INPUT!AO48/M542)</f>
        <v>0</v>
      </c>
      <c r="G702" s="131">
        <f>IF(D702&lt;=F702,1*N382*INPUT!AO48*M542,IF(D702&lt;=E702,1*N382*INPUT!AO48*(M542-(M542-(M542-0.3)/N382)*((D702-F702)/(E702-F702))),0.9*INPUT!$B$2*1*L622/D702/D702))</f>
        <v>0</v>
      </c>
      <c r="H702" s="131">
        <f>IF(D702&lt;=1.12*SQRT(INPUT!$B$2*M622/INPUT!AO48),0.58*INPUT!AO48,IF(D702&lt;=1.4*SQRT(INPUT!$B$2*M622/INPUT!AO48),0.65*SQRT(INPUT!AO48*INPUT!$B$2*M622)/D702,0.9*INPUT!$B$2*M622/D702/D702))</f>
        <v>0</v>
      </c>
      <c r="I702" s="131">
        <f>L542</f>
        <v>-0.44053693654699411</v>
      </c>
      <c r="J702" s="454" t="e">
        <f>IF(C702="OF","OF",G702*SQRT(1-(I702/H702)^2))</f>
        <v>#DIV/0!</v>
      </c>
      <c r="M702" s="67"/>
    </row>
    <row r="703">
      <c r="A703" s="182">
        <f>A623</f>
        <v>101</v>
      </c>
      <c r="B703" s="131" t="str">
        <f>B623</f>
        <v>Negative</v>
      </c>
      <c r="C703" s="195" t="str">
        <f>C463</f>
        <v>BF</v>
      </c>
      <c r="D703" s="131">
        <f>IF(K623=0,J623,H623)/I623</f>
        <v>46.5647565327574</v>
      </c>
      <c r="E703" s="131">
        <f>0.95*SQRT(INPUT!$B$2*L623/(M543-0.3)/INPUT!AO49)</f>
        <v>0</v>
      </c>
      <c r="F703" s="131">
        <f>0.57*SQRT(INPUT!$B$2*L623/INPUT!AO49/M543)</f>
        <v>0</v>
      </c>
      <c r="G703" s="131">
        <f>IF(D703&lt;=F703,1*N383*INPUT!AO49*M543,IF(D703&lt;=E703,1*N383*INPUT!AO49*(M543-(M543-(M543-0.3)/N383)*((D703-F703)/(E703-F703))),0.9*INPUT!$B$2*1*L623/D703/D703))</f>
        <v>0</v>
      </c>
      <c r="H703" s="131">
        <f>IF(D703&lt;=1.12*SQRT(INPUT!$B$2*M623/INPUT!AO49),0.58*INPUT!AO49,IF(D703&lt;=1.4*SQRT(INPUT!$B$2*M623/INPUT!AO49),0.65*SQRT(INPUT!AO49*INPUT!$B$2*M623)/D703,0.9*INPUT!$B$2*M623/D703/D703))</f>
        <v>0</v>
      </c>
      <c r="I703" s="131">
        <f>L543</f>
        <v>-0.44053693654699411</v>
      </c>
      <c r="J703" s="454" t="e">
        <f>IF(C703="OF","OF",G703*SQRT(1-(I703/H703)^2))</f>
        <v>#DIV/0!</v>
      </c>
      <c r="M703" s="67"/>
    </row>
    <row r="704">
      <c r="A704" s="182">
        <f>A624</f>
        <v>101</v>
      </c>
      <c r="B704" s="131" t="str">
        <f>B624</f>
        <v>Negative</v>
      </c>
      <c r="C704" s="195" t="str">
        <f>C464</f>
        <v>BF</v>
      </c>
      <c r="D704" s="131">
        <f>IF(K624=0,J624,H624)/I624</f>
        <v>46.5647565327574</v>
      </c>
      <c r="E704" s="131">
        <f>0.95*SQRT(INPUT!$B$2*L624/(M544-0.3)/INPUT!AO50)</f>
        <v>0</v>
      </c>
      <c r="F704" s="131">
        <f>0.57*SQRT(INPUT!$B$2*L624/INPUT!AO50/M544)</f>
        <v>0</v>
      </c>
      <c r="G704" s="131">
        <f>IF(D704&lt;=F704,1*N384*INPUT!AO50*M544,IF(D704&lt;=E704,1*N384*INPUT!AO50*(M544-(M544-(M544-0.3)/N384)*((D704-F704)/(E704-F704))),0.9*INPUT!$B$2*1*L624/D704/D704))</f>
        <v>0</v>
      </c>
      <c r="H704" s="131">
        <f>IF(D704&lt;=1.12*SQRT(INPUT!$B$2*M624/INPUT!AO50),0.58*INPUT!AO50,IF(D704&lt;=1.4*SQRT(INPUT!$B$2*M624/INPUT!AO50),0.65*SQRT(INPUT!AO50*INPUT!$B$2*M624)/D704,0.9*INPUT!$B$2*M624/D704/D704))</f>
        <v>0</v>
      </c>
      <c r="I704" s="131">
        <f>L544</f>
        <v>-0.44053693654699411</v>
      </c>
      <c r="J704" s="454" t="e">
        <f>IF(C704="OF","OF",G704*SQRT(1-(I704/H704)^2))</f>
        <v>#DIV/0!</v>
      </c>
      <c r="M704" s="67"/>
    </row>
    <row r="705">
      <c r="A705" s="182">
        <f>A625</f>
        <v>101</v>
      </c>
      <c r="B705" s="131" t="str">
        <f>B625</f>
        <v>Negative</v>
      </c>
      <c r="C705" s="195" t="str">
        <f>C465</f>
        <v>BF</v>
      </c>
      <c r="D705" s="131">
        <f>IF(K625=0,J625,H625)/I625</f>
        <v>46.5647565327574</v>
      </c>
      <c r="E705" s="131">
        <f>0.95*SQRT(INPUT!$B$2*L625/(M545-0.3)/INPUT!AO51)</f>
        <v>0</v>
      </c>
      <c r="F705" s="131">
        <f>0.57*SQRT(INPUT!$B$2*L625/INPUT!AO51/M545)</f>
        <v>0</v>
      </c>
      <c r="G705" s="131">
        <f>IF(D705&lt;=F705,1*N385*INPUT!AO51*M545,IF(D705&lt;=E705,1*N385*INPUT!AO51*(M545-(M545-(M545-0.3)/N385)*((D705-F705)/(E705-F705))),0.9*INPUT!$B$2*1*L625/D705/D705))</f>
        <v>0</v>
      </c>
      <c r="H705" s="131">
        <f>IF(D705&lt;=1.12*SQRT(INPUT!$B$2*M625/INPUT!AO51),0.58*INPUT!AO51,IF(D705&lt;=1.4*SQRT(INPUT!$B$2*M625/INPUT!AO51),0.65*SQRT(INPUT!AO51*INPUT!$B$2*M625)/D705,0.9*INPUT!$B$2*M625/D705/D705))</f>
        <v>0</v>
      </c>
      <c r="I705" s="131">
        <f>L545</f>
        <v>-0.44053693654699411</v>
      </c>
      <c r="J705" s="454" t="e">
        <f>IF(C705="OF","OF",G705*SQRT(1-(I705/H705)^2))</f>
        <v>#DIV/0!</v>
      </c>
      <c r="M705" s="67"/>
    </row>
    <row r="706">
      <c r="A706" s="182">
        <f>A626</f>
        <v>101</v>
      </c>
      <c r="B706" s="131" t="str">
        <f>B626</f>
        <v>Negative</v>
      </c>
      <c r="C706" s="195" t="str">
        <f>C466</f>
        <v>BF</v>
      </c>
      <c r="D706" s="131">
        <f>IF(K626=0,J626,H626)/I626</f>
        <v>46.5647565327574</v>
      </c>
      <c r="E706" s="131">
        <f>0.95*SQRT(INPUT!$B$2*L626/(M546-0.3)/INPUT!AO52)</f>
        <v>0</v>
      </c>
      <c r="F706" s="131">
        <f>0.57*SQRT(INPUT!$B$2*L626/INPUT!AO52/M546)</f>
        <v>0</v>
      </c>
      <c r="G706" s="131">
        <f>IF(D706&lt;=F706,1*N386*INPUT!AO52*M546,IF(D706&lt;=E706,1*N386*INPUT!AO52*(M546-(M546-(M546-0.3)/N386)*((D706-F706)/(E706-F706))),0.9*INPUT!$B$2*1*L626/D706/D706))</f>
        <v>0</v>
      </c>
      <c r="H706" s="131">
        <f>IF(D706&lt;=1.12*SQRT(INPUT!$B$2*M626/INPUT!AO52),0.58*INPUT!AO52,IF(D706&lt;=1.4*SQRT(INPUT!$B$2*M626/INPUT!AO52),0.65*SQRT(INPUT!AO52*INPUT!$B$2*M626)/D706,0.9*INPUT!$B$2*M626/D706/D706))</f>
        <v>0</v>
      </c>
      <c r="I706" s="131">
        <f>L546</f>
        <v>-0.44053693654699411</v>
      </c>
      <c r="J706" s="454" t="e">
        <f>IF(C706="OF","OF",G706*SQRT(1-(I706/H706)^2))</f>
        <v>#DIV/0!</v>
      </c>
      <c r="M706" s="67"/>
    </row>
    <row r="707">
      <c r="A707" s="182">
        <f>A627</f>
        <v>101</v>
      </c>
      <c r="B707" s="131" t="str">
        <f>B627</f>
        <v>Negative</v>
      </c>
      <c r="C707" s="195" t="str">
        <f>C467</f>
        <v>BF</v>
      </c>
      <c r="D707" s="131">
        <f>IF(K627=0,J627,H627)/I627</f>
        <v>46.5647565327574</v>
      </c>
      <c r="E707" s="131">
        <f>0.95*SQRT(INPUT!$B$2*L627/(M547-0.3)/INPUT!AO53)</f>
        <v>0</v>
      </c>
      <c r="F707" s="131">
        <f>0.57*SQRT(INPUT!$B$2*L627/INPUT!AO53/M547)</f>
        <v>0</v>
      </c>
      <c r="G707" s="131">
        <f>IF(D707&lt;=F707,1*N387*INPUT!AO53*M547,IF(D707&lt;=E707,1*N387*INPUT!AO53*(M547-(M547-(M547-0.3)/N387)*((D707-F707)/(E707-F707))),0.9*INPUT!$B$2*1*L627/D707/D707))</f>
        <v>0</v>
      </c>
      <c r="H707" s="131">
        <f>IF(D707&lt;=1.12*SQRT(INPUT!$B$2*M627/INPUT!AO53),0.58*INPUT!AO53,IF(D707&lt;=1.4*SQRT(INPUT!$B$2*M627/INPUT!AO53),0.65*SQRT(INPUT!AO53*INPUT!$B$2*M627)/D707,0.9*INPUT!$B$2*M627/D707/D707))</f>
        <v>0</v>
      </c>
      <c r="I707" s="131">
        <f>L547</f>
        <v>-0.44053693654699411</v>
      </c>
      <c r="J707" s="454" t="e">
        <f>IF(C707="OF","OF",G707*SQRT(1-(I707/H707)^2))</f>
        <v>#DIV/0!</v>
      </c>
      <c r="M707" s="67"/>
    </row>
    <row r="708">
      <c r="A708" s="182">
        <f>A628</f>
        <v>101</v>
      </c>
      <c r="B708" s="131" t="str">
        <f>B628</f>
        <v>Negative</v>
      </c>
      <c r="C708" s="195" t="str">
        <f>C468</f>
        <v>BF</v>
      </c>
      <c r="D708" s="131">
        <f>IF(K628=0,J628,H628)/I628</f>
        <v>46.5647565327574</v>
      </c>
      <c r="E708" s="131">
        <f>0.95*SQRT(INPUT!$B$2*L628/(M548-0.3)/INPUT!AO54)</f>
        <v>0</v>
      </c>
      <c r="F708" s="131">
        <f>0.57*SQRT(INPUT!$B$2*L628/INPUT!AO54/M548)</f>
        <v>0</v>
      </c>
      <c r="G708" s="131">
        <f>IF(D708&lt;=F708,1*N388*INPUT!AO54*M548,IF(D708&lt;=E708,1*N388*INPUT!AO54*(M548-(M548-(M548-0.3)/N388)*((D708-F708)/(E708-F708))),0.9*INPUT!$B$2*1*L628/D708/D708))</f>
        <v>0</v>
      </c>
      <c r="H708" s="131">
        <f>IF(D708&lt;=1.12*SQRT(INPUT!$B$2*M628/INPUT!AO54),0.58*INPUT!AO54,IF(D708&lt;=1.4*SQRT(INPUT!$B$2*M628/INPUT!AO54),0.65*SQRT(INPUT!AO54*INPUT!$B$2*M628)/D708,0.9*INPUT!$B$2*M628/D708/D708))</f>
        <v>0</v>
      </c>
      <c r="I708" s="131">
        <f>L548</f>
        <v>-0.44053693654699411</v>
      </c>
      <c r="J708" s="454" t="e">
        <f>IF(C708="OF","OF",G708*SQRT(1-(I708/H708)^2))</f>
        <v>#DIV/0!</v>
      </c>
      <c r="M708" s="67"/>
    </row>
    <row r="709">
      <c r="A709" s="182">
        <f>A629</f>
        <v>101</v>
      </c>
      <c r="B709" s="131" t="str">
        <f>B629</f>
        <v>Negative</v>
      </c>
      <c r="C709" s="195" t="str">
        <f>C469</f>
        <v>BF</v>
      </c>
      <c r="D709" s="131">
        <f>IF(K629=0,J629,H629)/I629</f>
        <v>46.5647565327574</v>
      </c>
      <c r="E709" s="131">
        <f>0.95*SQRT(INPUT!$B$2*L629/(M549-0.3)/INPUT!AO55)</f>
        <v>0</v>
      </c>
      <c r="F709" s="131">
        <f>0.57*SQRT(INPUT!$B$2*L629/INPUT!AO55/M549)</f>
        <v>0</v>
      </c>
      <c r="G709" s="131">
        <f>IF(D709&lt;=F709,1*N389*INPUT!AO55*M549,IF(D709&lt;=E709,1*N389*INPUT!AO55*(M549-(M549-(M549-0.3)/N389)*((D709-F709)/(E709-F709))),0.9*INPUT!$B$2*1*L629/D709/D709))</f>
        <v>0</v>
      </c>
      <c r="H709" s="131">
        <f>IF(D709&lt;=1.12*SQRT(INPUT!$B$2*M629/INPUT!AO55),0.58*INPUT!AO55,IF(D709&lt;=1.4*SQRT(INPUT!$B$2*M629/INPUT!AO55),0.65*SQRT(INPUT!AO55*INPUT!$B$2*M629)/D709,0.9*INPUT!$B$2*M629/D709/D709))</f>
        <v>0</v>
      </c>
      <c r="I709" s="131">
        <f>L549</f>
        <v>-0.44053693654699411</v>
      </c>
      <c r="J709" s="454" t="e">
        <f>IF(C709="OF","OF",G709*SQRT(1-(I709/H709)^2))</f>
        <v>#DIV/0!</v>
      </c>
      <c r="M709" s="67"/>
    </row>
    <row r="710">
      <c r="A710" s="182">
        <f>A630</f>
        <v>101</v>
      </c>
      <c r="B710" s="131" t="str">
        <f>B630</f>
        <v>Negative</v>
      </c>
      <c r="C710" s="195" t="str">
        <f>C470</f>
        <v>BF</v>
      </c>
      <c r="D710" s="131">
        <f>IF(K630=0,J630,H630)/I630</f>
        <v>46.5647565327574</v>
      </c>
      <c r="E710" s="131">
        <f>0.95*SQRT(INPUT!$B$2*L630/(M550-0.3)/INPUT!AO56)</f>
        <v>0</v>
      </c>
      <c r="F710" s="131">
        <f>0.57*SQRT(INPUT!$B$2*L630/INPUT!AO56/M550)</f>
        <v>0</v>
      </c>
      <c r="G710" s="131">
        <f>IF(D710&lt;=F710,1*N390*INPUT!AO56*M550,IF(D710&lt;=E710,1*N390*INPUT!AO56*(M550-(M550-(M550-0.3)/N390)*((D710-F710)/(E710-F710))),0.9*INPUT!$B$2*1*L630/D710/D710))</f>
        <v>0</v>
      </c>
      <c r="H710" s="131">
        <f>IF(D710&lt;=1.12*SQRT(INPUT!$B$2*M630/INPUT!AO56),0.58*INPUT!AO56,IF(D710&lt;=1.4*SQRT(INPUT!$B$2*M630/INPUT!AO56),0.65*SQRT(INPUT!AO56*INPUT!$B$2*M630)/D710,0.9*INPUT!$B$2*M630/D710/D710))</f>
        <v>0</v>
      </c>
      <c r="I710" s="131">
        <f>L550</f>
        <v>-0.44053693654699411</v>
      </c>
      <c r="J710" s="454" t="e">
        <f>IF(C710="OF","OF",G710*SQRT(1-(I710/H710)^2))</f>
        <v>#DIV/0!</v>
      </c>
      <c r="M710" s="67"/>
    </row>
    <row r="711">
      <c r="A711" s="182">
        <f>A631</f>
        <v>101</v>
      </c>
      <c r="B711" s="131" t="str">
        <f>B631</f>
        <v>Negative</v>
      </c>
      <c r="C711" s="195" t="str">
        <f>C471</f>
        <v>BF</v>
      </c>
      <c r="D711" s="131">
        <f>IF(K631=0,J631,H631)/I631</f>
        <v>46.5647565327574</v>
      </c>
      <c r="E711" s="131">
        <f>0.95*SQRT(INPUT!$B$2*L631/(M551-0.3)/INPUT!AO57)</f>
        <v>0</v>
      </c>
      <c r="F711" s="131">
        <f>0.57*SQRT(INPUT!$B$2*L631/INPUT!AO57/M551)</f>
        <v>0</v>
      </c>
      <c r="G711" s="131">
        <f>IF(D711&lt;=F711,1*N391*INPUT!AO57*M551,IF(D711&lt;=E711,1*N391*INPUT!AO57*(M551-(M551-(M551-0.3)/N391)*((D711-F711)/(E711-F711))),0.9*INPUT!$B$2*1*L631/D711/D711))</f>
        <v>0</v>
      </c>
      <c r="H711" s="131">
        <f>IF(D711&lt;=1.12*SQRT(INPUT!$B$2*M631/INPUT!AO57),0.58*INPUT!AO57,IF(D711&lt;=1.4*SQRT(INPUT!$B$2*M631/INPUT!AO57),0.65*SQRT(INPUT!AO57*INPUT!$B$2*M631)/D711,0.9*INPUT!$B$2*M631/D711/D711))</f>
        <v>0</v>
      </c>
      <c r="I711" s="131">
        <f>L551</f>
        <v>-0.44053693654699411</v>
      </c>
      <c r="J711" s="454" t="e">
        <f>IF(C711="OF","OF",G711*SQRT(1-(I711/H711)^2))</f>
        <v>#DIV/0!</v>
      </c>
      <c r="M711" s="67"/>
    </row>
    <row r="712">
      <c r="A712" s="182">
        <f>A632</f>
        <v>101</v>
      </c>
      <c r="B712" s="131" t="str">
        <f>B632</f>
        <v>Negative</v>
      </c>
      <c r="C712" s="195" t="str">
        <f>C472</f>
        <v>BF</v>
      </c>
      <c r="D712" s="131">
        <f>IF(K632=0,J632,H632)/I632</f>
        <v>46.5647565327574</v>
      </c>
      <c r="E712" s="131">
        <f>0.95*SQRT(INPUT!$B$2*L632/(M552-0.3)/INPUT!AO58)</f>
        <v>0</v>
      </c>
      <c r="F712" s="131">
        <f>0.57*SQRT(INPUT!$B$2*L632/INPUT!AO58/M552)</f>
        <v>0</v>
      </c>
      <c r="G712" s="131">
        <f>IF(D712&lt;=F712,1*N392*INPUT!AO58*M552,IF(D712&lt;=E712,1*N392*INPUT!AO58*(M552-(M552-(M552-0.3)/N392)*((D712-F712)/(E712-F712))),0.9*INPUT!$B$2*1*L632/D712/D712))</f>
        <v>0</v>
      </c>
      <c r="H712" s="131">
        <f>IF(D712&lt;=1.12*SQRT(INPUT!$B$2*M632/INPUT!AO58),0.58*INPUT!AO58,IF(D712&lt;=1.4*SQRT(INPUT!$B$2*M632/INPUT!AO58),0.65*SQRT(INPUT!AO58*INPUT!$B$2*M632)/D712,0.9*INPUT!$B$2*M632/D712/D712))</f>
        <v>0</v>
      </c>
      <c r="I712" s="131">
        <f>L552</f>
        <v>-0.44053693654699411</v>
      </c>
      <c r="J712" s="454" t="e">
        <f>IF(C712="OF","OF",G712*SQRT(1-(I712/H712)^2))</f>
        <v>#DIV/0!</v>
      </c>
      <c r="M712" s="67"/>
    </row>
    <row r="713">
      <c r="A713" s="182">
        <f>A633</f>
        <v>101</v>
      </c>
      <c r="B713" s="131" t="str">
        <f>B633</f>
        <v>Negative</v>
      </c>
      <c r="C713" s="195" t="str">
        <f>C473</f>
        <v>BF</v>
      </c>
      <c r="D713" s="131">
        <f>IF(K633=0,J633,H633)/I633</f>
        <v>46.5647565327574</v>
      </c>
      <c r="E713" s="131">
        <f>0.95*SQRT(INPUT!$B$2*L633/(M553-0.3)/INPUT!AO59)</f>
        <v>0</v>
      </c>
      <c r="F713" s="131">
        <f>0.57*SQRT(INPUT!$B$2*L633/INPUT!AO59/M553)</f>
        <v>0</v>
      </c>
      <c r="G713" s="131">
        <f>IF(D713&lt;=F713,1*N393*INPUT!AO59*M553,IF(D713&lt;=E713,1*N393*INPUT!AO59*(M553-(M553-(M553-0.3)/N393)*((D713-F713)/(E713-F713))),0.9*INPUT!$B$2*1*L633/D713/D713))</f>
        <v>0</v>
      </c>
      <c r="H713" s="131">
        <f>IF(D713&lt;=1.12*SQRT(INPUT!$B$2*M633/INPUT!AO59),0.58*INPUT!AO59,IF(D713&lt;=1.4*SQRT(INPUT!$B$2*M633/INPUT!AO59),0.65*SQRT(INPUT!AO59*INPUT!$B$2*M633)/D713,0.9*INPUT!$B$2*M633/D713/D713))</f>
        <v>0</v>
      </c>
      <c r="I713" s="131">
        <f>L553</f>
        <v>-0.44053693654699411</v>
      </c>
      <c r="J713" s="454" t="e">
        <f>IF(C713="OF","OF",G713*SQRT(1-(I713/H713)^2))</f>
        <v>#DIV/0!</v>
      </c>
      <c r="M713" s="67"/>
    </row>
    <row r="714">
      <c r="A714" s="182">
        <f>A634</f>
        <v>101</v>
      </c>
      <c r="B714" s="131" t="str">
        <f>B634</f>
        <v>Negative</v>
      </c>
      <c r="C714" s="195" t="str">
        <f>C474</f>
        <v>BF</v>
      </c>
      <c r="D714" s="131">
        <f>IF(K634=0,J634,H634)/I634</f>
        <v>46.5647565327574</v>
      </c>
      <c r="E714" s="131">
        <f>0.95*SQRT(INPUT!$B$2*L634/(M554-0.3)/INPUT!AO60)</f>
        <v>0</v>
      </c>
      <c r="F714" s="131">
        <f>0.57*SQRT(INPUT!$B$2*L634/INPUT!AO60/M554)</f>
        <v>0</v>
      </c>
      <c r="G714" s="131">
        <f>IF(D714&lt;=F714,1*N394*INPUT!AO60*M554,IF(D714&lt;=E714,1*N394*INPUT!AO60*(M554-(M554-(M554-0.3)/N394)*((D714-F714)/(E714-F714))),0.9*INPUT!$B$2*1*L634/D714/D714))</f>
        <v>0</v>
      </c>
      <c r="H714" s="131">
        <f>IF(D714&lt;=1.12*SQRT(INPUT!$B$2*M634/INPUT!AO60),0.58*INPUT!AO60,IF(D714&lt;=1.4*SQRT(INPUT!$B$2*M634/INPUT!AO60),0.65*SQRT(INPUT!AO60*INPUT!$B$2*M634)/D714,0.9*INPUT!$B$2*M634/D714/D714))</f>
        <v>0</v>
      </c>
      <c r="I714" s="131">
        <f>L554</f>
        <v>-0.44053693654699411</v>
      </c>
      <c r="J714" s="454" t="e">
        <f>IF(C714="OF","OF",G714*SQRT(1-(I714/H714)^2))</f>
        <v>#DIV/0!</v>
      </c>
      <c r="M714" s="67"/>
    </row>
    <row r="715">
      <c r="A715" s="182">
        <f>A635</f>
        <v>101</v>
      </c>
      <c r="B715" s="131" t="str">
        <f>B635</f>
        <v>Negative</v>
      </c>
      <c r="C715" s="195" t="str">
        <f>C475</f>
        <v>BF</v>
      </c>
      <c r="D715" s="131">
        <f>IF(K635=0,J635,H635)/I635</f>
        <v>46.5647565327574</v>
      </c>
      <c r="E715" s="131">
        <f>0.95*SQRT(INPUT!$B$2*L635/(M555-0.3)/INPUT!AO61)</f>
        <v>0</v>
      </c>
      <c r="F715" s="131">
        <f>0.57*SQRT(INPUT!$B$2*L635/INPUT!AO61/M555)</f>
        <v>0</v>
      </c>
      <c r="G715" s="131">
        <f>IF(D715&lt;=F715,1*N395*INPUT!AO61*M555,IF(D715&lt;=E715,1*N395*INPUT!AO61*(M555-(M555-(M555-0.3)/N395)*((D715-F715)/(E715-F715))),0.9*INPUT!$B$2*1*L635/D715/D715))</f>
        <v>0</v>
      </c>
      <c r="H715" s="131">
        <f>IF(D715&lt;=1.12*SQRT(INPUT!$B$2*M635/INPUT!AO61),0.58*INPUT!AO61,IF(D715&lt;=1.4*SQRT(INPUT!$B$2*M635/INPUT!AO61),0.65*SQRT(INPUT!AO61*INPUT!$B$2*M635)/D715,0.9*INPUT!$B$2*M635/D715/D715))</f>
        <v>0</v>
      </c>
      <c r="I715" s="131">
        <f>L555</f>
        <v>-0.44053693654699411</v>
      </c>
      <c r="J715" s="454" t="e">
        <f>IF(C715="OF","OF",G715*SQRT(1-(I715/H715)^2))</f>
        <v>#DIV/0!</v>
      </c>
      <c r="M715" s="67"/>
    </row>
    <row r="716">
      <c r="A716" s="182">
        <f>A636</f>
        <v>101</v>
      </c>
      <c r="B716" s="131" t="str">
        <f>B636</f>
        <v>Negative</v>
      </c>
      <c r="C716" s="195" t="str">
        <f>C476</f>
        <v>BF</v>
      </c>
      <c r="D716" s="131">
        <f>IF(K636=0,J636,H636)/I636</f>
        <v>46.5647565327574</v>
      </c>
      <c r="E716" s="131">
        <f>0.95*SQRT(INPUT!$B$2*L636/(M556-0.3)/INPUT!AO62)</f>
        <v>0</v>
      </c>
      <c r="F716" s="131">
        <f>0.57*SQRT(INPUT!$B$2*L636/INPUT!AO62/M556)</f>
        <v>0</v>
      </c>
      <c r="G716" s="131">
        <f>IF(D716&lt;=F716,1*N396*INPUT!AO62*M556,IF(D716&lt;=E716,1*N396*INPUT!AO62*(M556-(M556-(M556-0.3)/N396)*((D716-F716)/(E716-F716))),0.9*INPUT!$B$2*1*L636/D716/D716))</f>
        <v>0</v>
      </c>
      <c r="H716" s="131">
        <f>IF(D716&lt;=1.12*SQRT(INPUT!$B$2*M636/INPUT!AO62),0.58*INPUT!AO62,IF(D716&lt;=1.4*SQRT(INPUT!$B$2*M636/INPUT!AO62),0.65*SQRT(INPUT!AO62*INPUT!$B$2*M636)/D716,0.9*INPUT!$B$2*M636/D716/D716))</f>
        <v>0</v>
      </c>
      <c r="I716" s="131">
        <f>L556</f>
        <v>-0.44053693654699411</v>
      </c>
      <c r="J716" s="454" t="e">
        <f>IF(C716="OF","OF",G716*SQRT(1-(I716/H716)^2))</f>
        <v>#DIV/0!</v>
      </c>
      <c r="M716" s="67"/>
    </row>
    <row r="717">
      <c r="A717" s="182">
        <f>A637</f>
        <v>101</v>
      </c>
      <c r="B717" s="131" t="str">
        <f>B637</f>
        <v>Negative</v>
      </c>
      <c r="C717" s="195" t="str">
        <f>C477</f>
        <v>BF</v>
      </c>
      <c r="D717" s="131">
        <f>IF(K637=0,J637,H637)/I637</f>
        <v>46.5647565327574</v>
      </c>
      <c r="E717" s="131">
        <f>0.95*SQRT(INPUT!$B$2*L637/(M557-0.3)/INPUT!AO63)</f>
        <v>0</v>
      </c>
      <c r="F717" s="131">
        <f>0.57*SQRT(INPUT!$B$2*L637/INPUT!AO63/M557)</f>
        <v>0</v>
      </c>
      <c r="G717" s="131">
        <f>IF(D717&lt;=F717,1*N397*INPUT!AO63*M557,IF(D717&lt;=E717,1*N397*INPUT!AO63*(M557-(M557-(M557-0.3)/N397)*((D717-F717)/(E717-F717))),0.9*INPUT!$B$2*1*L637/D717/D717))</f>
        <v>0</v>
      </c>
      <c r="H717" s="131">
        <f>IF(D717&lt;=1.12*SQRT(INPUT!$B$2*M637/INPUT!AO63),0.58*INPUT!AO63,IF(D717&lt;=1.4*SQRT(INPUT!$B$2*M637/INPUT!AO63),0.65*SQRT(INPUT!AO63*INPUT!$B$2*M637)/D717,0.9*INPUT!$B$2*M637/D717/D717))</f>
        <v>0</v>
      </c>
      <c r="I717" s="131">
        <f>L557</f>
        <v>-0.44053693654699411</v>
      </c>
      <c r="J717" s="454" t="e">
        <f>IF(C717="OF","OF",G717*SQRT(1-(I717/H717)^2))</f>
        <v>#DIV/0!</v>
      </c>
      <c r="M717" s="67"/>
    </row>
    <row r="718">
      <c r="A718" s="182">
        <f>A638</f>
        <v>101</v>
      </c>
      <c r="B718" s="131" t="str">
        <f>B638</f>
        <v>Negative</v>
      </c>
      <c r="C718" s="195" t="str">
        <f>C478</f>
        <v>BF</v>
      </c>
      <c r="D718" s="131">
        <f>IF(K638=0,J638,H638)/I638</f>
        <v>46.5647565327574</v>
      </c>
      <c r="E718" s="131">
        <f>0.95*SQRT(INPUT!$B$2*L638/(M558-0.3)/INPUT!AO64)</f>
        <v>0</v>
      </c>
      <c r="F718" s="131">
        <f>0.57*SQRT(INPUT!$B$2*L638/INPUT!AO64/M558)</f>
        <v>0</v>
      </c>
      <c r="G718" s="131">
        <f>IF(D718&lt;=F718,1*N398*INPUT!AO64*M558,IF(D718&lt;=E718,1*N398*INPUT!AO64*(M558-(M558-(M558-0.3)/N398)*((D718-F718)/(E718-F718))),0.9*INPUT!$B$2*1*L638/D718/D718))</f>
        <v>0</v>
      </c>
      <c r="H718" s="131">
        <f>IF(D718&lt;=1.12*SQRT(INPUT!$B$2*M638/INPUT!AO64),0.58*INPUT!AO64,IF(D718&lt;=1.4*SQRT(INPUT!$B$2*M638/INPUT!AO64),0.65*SQRT(INPUT!AO64*INPUT!$B$2*M638)/D718,0.9*INPUT!$B$2*M638/D718/D718))</f>
        <v>0</v>
      </c>
      <c r="I718" s="131">
        <f>L558</f>
        <v>-0.44053693654699411</v>
      </c>
      <c r="J718" s="454" t="e">
        <f>IF(C718="OF","OF",G718*SQRT(1-(I718/H718)^2))</f>
        <v>#DIV/0!</v>
      </c>
      <c r="M718" s="67"/>
    </row>
    <row r="719">
      <c r="A719" s="182">
        <f>A639</f>
        <v>101</v>
      </c>
      <c r="B719" s="131" t="str">
        <f>B639</f>
        <v>Negative</v>
      </c>
      <c r="C719" s="195" t="str">
        <f>C479</f>
        <v>BF</v>
      </c>
      <c r="D719" s="131">
        <f>IF(K639=0,J639,H639)/I639</f>
        <v>46.5647565327574</v>
      </c>
      <c r="E719" s="131">
        <f>0.95*SQRT(INPUT!$B$2*L639/(M559-0.3)/INPUT!AO65)</f>
        <v>0</v>
      </c>
      <c r="F719" s="131">
        <f>0.57*SQRT(INPUT!$B$2*L639/INPUT!AO65/M559)</f>
        <v>0</v>
      </c>
      <c r="G719" s="131">
        <f>IF(D719&lt;=F719,1*N399*INPUT!AO65*M559,IF(D719&lt;=E719,1*N399*INPUT!AO65*(M559-(M559-(M559-0.3)/N399)*((D719-F719)/(E719-F719))),0.9*INPUT!$B$2*1*L639/D719/D719))</f>
        <v>0</v>
      </c>
      <c r="H719" s="131">
        <f>IF(D719&lt;=1.12*SQRT(INPUT!$B$2*M639/INPUT!AO65),0.58*INPUT!AO65,IF(D719&lt;=1.4*SQRT(INPUT!$B$2*M639/INPUT!AO65),0.65*SQRT(INPUT!AO65*INPUT!$B$2*M639)/D719,0.9*INPUT!$B$2*M639/D719/D719))</f>
        <v>0</v>
      </c>
      <c r="I719" s="131">
        <f>L559</f>
        <v>-0.44053693654699411</v>
      </c>
      <c r="J719" s="454" t="e">
        <f>IF(C719="OF","OF",G719*SQRT(1-(I719/H719)^2))</f>
        <v>#DIV/0!</v>
      </c>
      <c r="M719" s="67"/>
    </row>
    <row r="720">
      <c r="A720" s="182">
        <f>A640</f>
        <v>101</v>
      </c>
      <c r="B720" s="131" t="str">
        <f>B640</f>
        <v>Negative</v>
      </c>
      <c r="C720" s="195" t="str">
        <f>C480</f>
        <v>BF</v>
      </c>
      <c r="D720" s="131">
        <f>IF(K640=0,J640,H640)/I640</f>
        <v>46.5647565327574</v>
      </c>
      <c r="E720" s="131">
        <f>0.95*SQRT(INPUT!$B$2*L640/(M560-0.3)/INPUT!AO66)</f>
        <v>0</v>
      </c>
      <c r="F720" s="131">
        <f>0.57*SQRT(INPUT!$B$2*L640/INPUT!AO66/M560)</f>
        <v>0</v>
      </c>
      <c r="G720" s="131">
        <f>IF(D720&lt;=F720,1*N400*INPUT!AO66*M560,IF(D720&lt;=E720,1*N400*INPUT!AO66*(M560-(M560-(M560-0.3)/N400)*((D720-F720)/(E720-F720))),0.9*INPUT!$B$2*1*L640/D720/D720))</f>
        <v>0</v>
      </c>
      <c r="H720" s="131">
        <f>IF(D720&lt;=1.12*SQRT(INPUT!$B$2*M640/INPUT!AO66),0.58*INPUT!AO66,IF(D720&lt;=1.4*SQRT(INPUT!$B$2*M640/INPUT!AO66),0.65*SQRT(INPUT!AO66*INPUT!$B$2*M640)/D720,0.9*INPUT!$B$2*M640/D720/D720))</f>
        <v>0</v>
      </c>
      <c r="I720" s="131">
        <f>L560</f>
        <v>-0.44053693654699411</v>
      </c>
      <c r="J720" s="454" t="e">
        <f>IF(C720="OF","OF",G720*SQRT(1-(I720/H720)^2))</f>
        <v>#DIV/0!</v>
      </c>
      <c r="M720" s="67"/>
    </row>
    <row r="721">
      <c r="A721" s="182">
        <f>A641</f>
        <v>101</v>
      </c>
      <c r="B721" s="131" t="str">
        <f>B641</f>
        <v>Negative</v>
      </c>
      <c r="C721" s="195" t="str">
        <f>C481</f>
        <v>BF</v>
      </c>
      <c r="D721" s="131">
        <f>IF(K641=0,J641,H641)/I641</f>
        <v>46.5647565327574</v>
      </c>
      <c r="E721" s="131">
        <f>0.95*SQRT(INPUT!$B$2*L641/(M561-0.3)/INPUT!AO67)</f>
        <v>0</v>
      </c>
      <c r="F721" s="131">
        <f>0.57*SQRT(INPUT!$B$2*L641/INPUT!AO67/M561)</f>
        <v>0</v>
      </c>
      <c r="G721" s="131">
        <f>IF(D721&lt;=F721,1*N401*INPUT!AO67*M561,IF(D721&lt;=E721,1*N401*INPUT!AO67*(M561-(M561-(M561-0.3)/N401)*((D721-F721)/(E721-F721))),0.9*INPUT!$B$2*1*L641/D721/D721))</f>
        <v>0</v>
      </c>
      <c r="H721" s="131">
        <f>IF(D721&lt;=1.12*SQRT(INPUT!$B$2*M641/INPUT!AO67),0.58*INPUT!AO67,IF(D721&lt;=1.4*SQRT(INPUT!$B$2*M641/INPUT!AO67),0.65*SQRT(INPUT!AO67*INPUT!$B$2*M641)/D721,0.9*INPUT!$B$2*M641/D721/D721))</f>
        <v>0</v>
      </c>
      <c r="I721" s="131">
        <f>L561</f>
        <v>-0.44053693654699411</v>
      </c>
      <c r="J721" s="454" t="e">
        <f>IF(C721="OF","OF",G721*SQRT(1-(I721/H721)^2))</f>
        <v>#DIV/0!</v>
      </c>
      <c r="M721" s="67"/>
    </row>
    <row r="722">
      <c r="A722" s="182">
        <f>A642</f>
        <v>101</v>
      </c>
      <c r="B722" s="131" t="str">
        <f>B642</f>
        <v>Negative</v>
      </c>
      <c r="C722" s="195" t="str">
        <f>C482</f>
        <v>BF</v>
      </c>
      <c r="D722" s="131">
        <f>IF(K642=0,J642,H642)/I642</f>
        <v>46.5647565327574</v>
      </c>
      <c r="E722" s="131">
        <f>0.95*SQRT(INPUT!$B$2*L642/(M562-0.3)/INPUT!AO68)</f>
        <v>0</v>
      </c>
      <c r="F722" s="131">
        <f>0.57*SQRT(INPUT!$B$2*L642/INPUT!AO68/M562)</f>
        <v>0</v>
      </c>
      <c r="G722" s="131">
        <f>IF(D722&lt;=F722,1*N402*INPUT!AO68*M562,IF(D722&lt;=E722,1*N402*INPUT!AO68*(M562-(M562-(M562-0.3)/N402)*((D722-F722)/(E722-F722))),0.9*INPUT!$B$2*1*L642/D722/D722))</f>
        <v>0</v>
      </c>
      <c r="H722" s="131">
        <f>IF(D722&lt;=1.12*SQRT(INPUT!$B$2*M642/INPUT!AO68),0.58*INPUT!AO68,IF(D722&lt;=1.4*SQRT(INPUT!$B$2*M642/INPUT!AO68),0.65*SQRT(INPUT!AO68*INPUT!$B$2*M642)/D722,0.9*INPUT!$B$2*M642/D722/D722))</f>
        <v>0</v>
      </c>
      <c r="I722" s="131">
        <f>L562</f>
        <v>-0.44053693654699411</v>
      </c>
      <c r="J722" s="454" t="e">
        <f>IF(C722="OF","OF",G722*SQRT(1-(I722/H722)^2))</f>
        <v>#DIV/0!</v>
      </c>
      <c r="M722" s="67"/>
    </row>
    <row r="723">
      <c r="A723" s="182">
        <f>A643</f>
        <v>101</v>
      </c>
      <c r="B723" s="131" t="str">
        <f>B643</f>
        <v>Negative</v>
      </c>
      <c r="C723" s="195" t="str">
        <f>C483</f>
        <v>BF</v>
      </c>
      <c r="D723" s="131">
        <f>IF(K643=0,J643,H643)/I643</f>
        <v>46.5647565327574</v>
      </c>
      <c r="E723" s="131">
        <f>0.95*SQRT(INPUT!$B$2*L643/(M563-0.3)/INPUT!AO69)</f>
        <v>0</v>
      </c>
      <c r="F723" s="131">
        <f>0.57*SQRT(INPUT!$B$2*L643/INPUT!AO69/M563)</f>
        <v>0</v>
      </c>
      <c r="G723" s="131">
        <f>IF(D723&lt;=F723,1*N403*INPUT!AO69*M563,IF(D723&lt;=E723,1*N403*INPUT!AO69*(M563-(M563-(M563-0.3)/N403)*((D723-F723)/(E723-F723))),0.9*INPUT!$B$2*1*L643/D723/D723))</f>
        <v>0</v>
      </c>
      <c r="H723" s="131">
        <f>IF(D723&lt;=1.12*SQRT(INPUT!$B$2*M643/INPUT!AO69),0.58*INPUT!AO69,IF(D723&lt;=1.4*SQRT(INPUT!$B$2*M643/INPUT!AO69),0.65*SQRT(INPUT!AO69*INPUT!$B$2*M643)/D723,0.9*INPUT!$B$2*M643/D723/D723))</f>
        <v>0</v>
      </c>
      <c r="I723" s="131">
        <f>L563</f>
        <v>-0.44053693654699411</v>
      </c>
      <c r="J723" s="454" t="e">
        <f>IF(C723="OF","OF",G723*SQRT(1-(I723/H723)^2))</f>
        <v>#DIV/0!</v>
      </c>
      <c r="M723" s="67"/>
    </row>
    <row r="724">
      <c r="A724" s="182">
        <f>A644</f>
        <v>101</v>
      </c>
      <c r="B724" s="131" t="str">
        <f>B644</f>
        <v>Negative</v>
      </c>
      <c r="C724" s="195" t="str">
        <f>C484</f>
        <v>BF</v>
      </c>
      <c r="D724" s="131">
        <f>IF(K644=0,J644,H644)/I644</f>
        <v>46.5647565327574</v>
      </c>
      <c r="E724" s="131">
        <f>0.95*SQRT(INPUT!$B$2*L644/(M564-0.3)/INPUT!AO70)</f>
        <v>0</v>
      </c>
      <c r="F724" s="131">
        <f>0.57*SQRT(INPUT!$B$2*L644/INPUT!AO70/M564)</f>
        <v>0</v>
      </c>
      <c r="G724" s="131">
        <f>IF(D724&lt;=F724,1*N404*INPUT!AO70*M564,IF(D724&lt;=E724,1*N404*INPUT!AO70*(M564-(M564-(M564-0.3)/N404)*((D724-F724)/(E724-F724))),0.9*INPUT!$B$2*1*L644/D724/D724))</f>
        <v>0</v>
      </c>
      <c r="H724" s="131">
        <f>IF(D724&lt;=1.12*SQRT(INPUT!$B$2*M644/INPUT!AO70),0.58*INPUT!AO70,IF(D724&lt;=1.4*SQRT(INPUT!$B$2*M644/INPUT!AO70),0.65*SQRT(INPUT!AO70*INPUT!$B$2*M644)/D724,0.9*INPUT!$B$2*M644/D724/D724))</f>
        <v>0</v>
      </c>
      <c r="I724" s="131">
        <f>L564</f>
        <v>-0.44053693654699411</v>
      </c>
      <c r="J724" s="454" t="e">
        <f>IF(C724="OF","OF",G724*SQRT(1-(I724/H724)^2))</f>
        <v>#DIV/0!</v>
      </c>
      <c r="M724" s="67"/>
    </row>
    <row r="725">
      <c r="A725" s="182">
        <f>A645</f>
        <v>101</v>
      </c>
      <c r="B725" s="131" t="str">
        <f>B645</f>
        <v>Negative</v>
      </c>
      <c r="C725" s="195" t="str">
        <f>C485</f>
        <v>BF</v>
      </c>
      <c r="D725" s="131">
        <f>IF(K645=0,J645,H645)/I645</f>
        <v>46.5647565327574</v>
      </c>
      <c r="E725" s="131">
        <f>0.95*SQRT(INPUT!$B$2*L645/(M565-0.3)/INPUT!AO71)</f>
        <v>0</v>
      </c>
      <c r="F725" s="131">
        <f>0.57*SQRT(INPUT!$B$2*L645/INPUT!AO71/M565)</f>
        <v>0</v>
      </c>
      <c r="G725" s="131">
        <f>IF(D725&lt;=F725,1*N405*INPUT!AO71*M565,IF(D725&lt;=E725,1*N405*INPUT!AO71*(M565-(M565-(M565-0.3)/N405)*((D725-F725)/(E725-F725))),0.9*INPUT!$B$2*1*L645/D725/D725))</f>
        <v>0</v>
      </c>
      <c r="H725" s="131">
        <f>IF(D725&lt;=1.12*SQRT(INPUT!$B$2*M645/INPUT!AO71),0.58*INPUT!AO71,IF(D725&lt;=1.4*SQRT(INPUT!$B$2*M645/INPUT!AO71),0.65*SQRT(INPUT!AO71*INPUT!$B$2*M645)/D725,0.9*INPUT!$B$2*M645/D725/D725))</f>
        <v>0</v>
      </c>
      <c r="I725" s="131">
        <f>L565</f>
        <v>-0.44053693654699411</v>
      </c>
      <c r="J725" s="454" t="e">
        <f>IF(C725="OF","OF",G725*SQRT(1-(I725/H725)^2))</f>
        <v>#DIV/0!</v>
      </c>
      <c r="M725" s="67"/>
    </row>
    <row r="726">
      <c r="A726" s="182">
        <f>A646</f>
        <v>101</v>
      </c>
      <c r="B726" s="131" t="str">
        <f>B646</f>
        <v>Negative</v>
      </c>
      <c r="C726" s="195" t="str">
        <f>C486</f>
        <v>BF</v>
      </c>
      <c r="D726" s="131">
        <f>IF(K646=0,J646,H646)/I646</f>
        <v>46.5647565327574</v>
      </c>
      <c r="E726" s="131">
        <f>0.95*SQRT(INPUT!$B$2*L646/(M566-0.3)/INPUT!AO72)</f>
        <v>0</v>
      </c>
      <c r="F726" s="131">
        <f>0.57*SQRT(INPUT!$B$2*L646/INPUT!AO72/M566)</f>
        <v>0</v>
      </c>
      <c r="G726" s="131">
        <f>IF(D726&lt;=F726,1*N406*INPUT!AO72*M566,IF(D726&lt;=E726,1*N406*INPUT!AO72*(M566-(M566-(M566-0.3)/N406)*((D726-F726)/(E726-F726))),0.9*INPUT!$B$2*1*L646/D726/D726))</f>
        <v>0</v>
      </c>
      <c r="H726" s="131">
        <f>IF(D726&lt;=1.12*SQRT(INPUT!$B$2*M646/INPUT!AO72),0.58*INPUT!AO72,IF(D726&lt;=1.4*SQRT(INPUT!$B$2*M646/INPUT!AO72),0.65*SQRT(INPUT!AO72*INPUT!$B$2*M646)/D726,0.9*INPUT!$B$2*M646/D726/D726))</f>
        <v>0</v>
      </c>
      <c r="I726" s="131">
        <f>L566</f>
        <v>-0.44053693654699411</v>
      </c>
      <c r="J726" s="454" t="e">
        <f>IF(C726="OF","OF",G726*SQRT(1-(I726/H726)^2))</f>
        <v>#DIV/0!</v>
      </c>
      <c r="M726" s="67"/>
    </row>
    <row r="727">
      <c r="A727" s="182">
        <f>A647</f>
        <v>101</v>
      </c>
      <c r="B727" s="131" t="str">
        <f>B647</f>
        <v>Negative</v>
      </c>
      <c r="C727" s="195" t="str">
        <f>C487</f>
        <v>BF</v>
      </c>
      <c r="D727" s="131">
        <f>IF(K647=0,J647,H647)/I647</f>
        <v>46.5647565327574</v>
      </c>
      <c r="E727" s="131">
        <f>0.95*SQRT(INPUT!$B$2*L647/(M567-0.3)/INPUT!AO73)</f>
        <v>0</v>
      </c>
      <c r="F727" s="131">
        <f>0.57*SQRT(INPUT!$B$2*L647/INPUT!AO73/M567)</f>
        <v>0</v>
      </c>
      <c r="G727" s="131">
        <f>IF(D727&lt;=F727,1*N407*INPUT!AO73*M567,IF(D727&lt;=E727,1*N407*INPUT!AO73*(M567-(M567-(M567-0.3)/N407)*((D727-F727)/(E727-F727))),0.9*INPUT!$B$2*1*L647/D727/D727))</f>
        <v>0</v>
      </c>
      <c r="H727" s="131">
        <f>IF(D727&lt;=1.12*SQRT(INPUT!$B$2*M647/INPUT!AO73),0.58*INPUT!AO73,IF(D727&lt;=1.4*SQRT(INPUT!$B$2*M647/INPUT!AO73),0.65*SQRT(INPUT!AO73*INPUT!$B$2*M647)/D727,0.9*INPUT!$B$2*M647/D727/D727))</f>
        <v>0</v>
      </c>
      <c r="I727" s="131">
        <f>L567</f>
        <v>-0.44053693654699411</v>
      </c>
      <c r="J727" s="454" t="e">
        <f>IF(C727="OF","OF",G727*SQRT(1-(I727/H727)^2))</f>
        <v>#DIV/0!</v>
      </c>
      <c r="M727" s="67"/>
    </row>
    <row r="728">
      <c r="A728" s="182">
        <f>A648</f>
        <v>101</v>
      </c>
      <c r="B728" s="131" t="str">
        <f>B648</f>
        <v>Negative</v>
      </c>
      <c r="C728" s="195" t="str">
        <f>C488</f>
        <v>BF</v>
      </c>
      <c r="D728" s="131">
        <f>IF(K648=0,J648,H648)/I648</f>
        <v>46.5647565327574</v>
      </c>
      <c r="E728" s="131">
        <f>0.95*SQRT(INPUT!$B$2*L648/(M568-0.3)/INPUT!AO74)</f>
        <v>0</v>
      </c>
      <c r="F728" s="131">
        <f>0.57*SQRT(INPUT!$B$2*L648/INPUT!AO74/M568)</f>
        <v>0</v>
      </c>
      <c r="G728" s="131">
        <f>IF(D728&lt;=F728,1*N408*INPUT!AO74*M568,IF(D728&lt;=E728,1*N408*INPUT!AO74*(M568-(M568-(M568-0.3)/N408)*((D728-F728)/(E728-F728))),0.9*INPUT!$B$2*1*L648/D728/D728))</f>
        <v>0</v>
      </c>
      <c r="H728" s="131">
        <f>IF(D728&lt;=1.12*SQRT(INPUT!$B$2*M648/INPUT!AO74),0.58*INPUT!AO74,IF(D728&lt;=1.4*SQRT(INPUT!$B$2*M648/INPUT!AO74),0.65*SQRT(INPUT!AO74*INPUT!$B$2*M648)/D728,0.9*INPUT!$B$2*M648/D728/D728))</f>
        <v>0</v>
      </c>
      <c r="I728" s="131">
        <f>L568</f>
        <v>-0.44053693654699411</v>
      </c>
      <c r="J728" s="454" t="e">
        <f>IF(C728="OF","OF",G728*SQRT(1-(I728/H728)^2))</f>
        <v>#DIV/0!</v>
      </c>
      <c r="M728" s="67"/>
    </row>
    <row r="729">
      <c r="A729" s="182">
        <f>A649</f>
        <v>101</v>
      </c>
      <c r="B729" s="131" t="str">
        <f>B649</f>
        <v>Negative</v>
      </c>
      <c r="C729" s="195" t="str">
        <f>C489</f>
        <v>BF</v>
      </c>
      <c r="D729" s="131">
        <f>IF(K649=0,J649,H649)/I649</f>
        <v>46.5647565327574</v>
      </c>
      <c r="E729" s="131">
        <f>0.95*SQRT(INPUT!$B$2*L649/(M569-0.3)/INPUT!AO75)</f>
        <v>0</v>
      </c>
      <c r="F729" s="131">
        <f>0.57*SQRT(INPUT!$B$2*L649/INPUT!AO75/M569)</f>
        <v>0</v>
      </c>
      <c r="G729" s="131">
        <f>IF(D729&lt;=F729,1*N409*INPUT!AO75*M569,IF(D729&lt;=E729,1*N409*INPUT!AO75*(M569-(M569-(M569-0.3)/N409)*((D729-F729)/(E729-F729))),0.9*INPUT!$B$2*1*L649/D729/D729))</f>
        <v>0</v>
      </c>
      <c r="H729" s="131">
        <f>IF(D729&lt;=1.12*SQRT(INPUT!$B$2*M649/INPUT!AO75),0.58*INPUT!AO75,IF(D729&lt;=1.4*SQRT(INPUT!$B$2*M649/INPUT!AO75),0.65*SQRT(INPUT!AO75*INPUT!$B$2*M649)/D729,0.9*INPUT!$B$2*M649/D729/D729))</f>
        <v>0</v>
      </c>
      <c r="I729" s="131">
        <f>L569</f>
        <v>-0.44053693654699411</v>
      </c>
      <c r="J729" s="454" t="e">
        <f>IF(C729="OF","OF",G729*SQRT(1-(I729/H729)^2))</f>
        <v>#DIV/0!</v>
      </c>
      <c r="M729" s="67"/>
    </row>
    <row r="730">
      <c r="A730" s="182">
        <f>A650</f>
        <v>101</v>
      </c>
      <c r="B730" s="131" t="str">
        <f>B650</f>
        <v>Negative</v>
      </c>
      <c r="C730" s="195" t="str">
        <f>C490</f>
        <v>BF</v>
      </c>
      <c r="D730" s="131">
        <f>IF(K650=0,J650,H650)/I650</f>
        <v>46.5647565327574</v>
      </c>
      <c r="E730" s="131">
        <f>0.95*SQRT(INPUT!$B$2*L650/(M570-0.3)/INPUT!AO76)</f>
        <v>0</v>
      </c>
      <c r="F730" s="131">
        <f>0.57*SQRT(INPUT!$B$2*L650/INPUT!AO76/M570)</f>
        <v>0</v>
      </c>
      <c r="G730" s="131">
        <f>IF(D730&lt;=F730,1*N410*INPUT!AO76*M570,IF(D730&lt;=E730,1*N410*INPUT!AO76*(M570-(M570-(M570-0.3)/N410)*((D730-F730)/(E730-F730))),0.9*INPUT!$B$2*1*L650/D730/D730))</f>
        <v>0</v>
      </c>
      <c r="H730" s="131">
        <f>IF(D730&lt;=1.12*SQRT(INPUT!$B$2*M650/INPUT!AO76),0.58*INPUT!AO76,IF(D730&lt;=1.4*SQRT(INPUT!$B$2*M650/INPUT!AO76),0.65*SQRT(INPUT!AO76*INPUT!$B$2*M650)/D730,0.9*INPUT!$B$2*M650/D730/D730))</f>
        <v>0</v>
      </c>
      <c r="I730" s="131">
        <f>L570</f>
        <v>-0.44053693654699411</v>
      </c>
      <c r="J730" s="454" t="e">
        <f>IF(C730="OF","OF",G730*SQRT(1-(I730/H730)^2))</f>
        <v>#DIV/0!</v>
      </c>
      <c r="M730" s="67"/>
    </row>
    <row r="731">
      <c r="A731" s="182">
        <f>A651</f>
        <v>101</v>
      </c>
      <c r="B731" s="131" t="str">
        <f>B651</f>
        <v>Negative</v>
      </c>
      <c r="C731" s="195" t="str">
        <f>C491</f>
        <v>BF</v>
      </c>
      <c r="D731" s="131">
        <f>IF(K651=0,J651,H651)/I651</f>
        <v>46.5647565327574</v>
      </c>
      <c r="E731" s="131">
        <f>0.95*SQRT(INPUT!$B$2*L651/(M571-0.3)/INPUT!AO77)</f>
        <v>0</v>
      </c>
      <c r="F731" s="131">
        <f>0.57*SQRT(INPUT!$B$2*L651/INPUT!AO77/M571)</f>
        <v>0</v>
      </c>
      <c r="G731" s="131">
        <f>IF(D731&lt;=F731,1*N411*INPUT!AO77*M571,IF(D731&lt;=E731,1*N411*INPUT!AO77*(M571-(M571-(M571-0.3)/N411)*((D731-F731)/(E731-F731))),0.9*INPUT!$B$2*1*L651/D731/D731))</f>
        <v>0</v>
      </c>
      <c r="H731" s="131">
        <f>IF(D731&lt;=1.12*SQRT(INPUT!$B$2*M651/INPUT!AO77),0.58*INPUT!AO77,IF(D731&lt;=1.4*SQRT(INPUT!$B$2*M651/INPUT!AO77),0.65*SQRT(INPUT!AO77*INPUT!$B$2*M651)/D731,0.9*INPUT!$B$2*M651/D731/D731))</f>
        <v>0</v>
      </c>
      <c r="I731" s="131">
        <f>L571</f>
        <v>-0.44053693654699411</v>
      </c>
      <c r="J731" s="454" t="e">
        <f>IF(C731="OF","OF",G731*SQRT(1-(I731/H731)^2))</f>
        <v>#DIV/0!</v>
      </c>
      <c r="M731" s="67"/>
    </row>
    <row r="732">
      <c r="A732" s="182">
        <f>A652</f>
        <v>101</v>
      </c>
      <c r="B732" s="131" t="str">
        <f>B652</f>
        <v>Negative</v>
      </c>
      <c r="C732" s="195" t="str">
        <f>C492</f>
        <v>BF</v>
      </c>
      <c r="D732" s="131">
        <f>IF(K652=0,J652,H652)/I652</f>
        <v>46.5647565327574</v>
      </c>
      <c r="E732" s="131">
        <f>0.95*SQRT(INPUT!$B$2*L652/(M572-0.3)/INPUT!AO78)</f>
        <v>0</v>
      </c>
      <c r="F732" s="131">
        <f>0.57*SQRT(INPUT!$B$2*L652/INPUT!AO78/M572)</f>
        <v>0</v>
      </c>
      <c r="G732" s="131">
        <f>IF(D732&lt;=F732,1*N412*INPUT!AO78*M572,IF(D732&lt;=E732,1*N412*INPUT!AO78*(M572-(M572-(M572-0.3)/N412)*((D732-F732)/(E732-F732))),0.9*INPUT!$B$2*1*L652/D732/D732))</f>
        <v>0</v>
      </c>
      <c r="H732" s="131">
        <f>IF(D732&lt;=1.12*SQRT(INPUT!$B$2*M652/INPUT!AO78),0.58*INPUT!AO78,IF(D732&lt;=1.4*SQRT(INPUT!$B$2*M652/INPUT!AO78),0.65*SQRT(INPUT!AO78*INPUT!$B$2*M652)/D732,0.9*INPUT!$B$2*M652/D732/D732))</f>
        <v>0</v>
      </c>
      <c r="I732" s="131">
        <f>L572</f>
        <v>-0.44053693654699411</v>
      </c>
      <c r="J732" s="454" t="e">
        <f>IF(C732="OF","OF",G732*SQRT(1-(I732/H732)^2))</f>
        <v>#DIV/0!</v>
      </c>
      <c r="M732" s="67"/>
    </row>
    <row r="734" ht="15" customHeight="1">
      <c r="A734" s="59" t="s">
        <v>407</v>
      </c>
      <c r="B734" s="133"/>
      <c r="C734" s="132"/>
      <c r="D734" s="109"/>
      <c r="E734" s="132"/>
      <c r="F734" s="133"/>
      <c r="G734" s="133"/>
      <c r="H734" s="134"/>
      <c r="I734" s="132"/>
      <c r="J734" s="4"/>
      <c r="K734" s="4"/>
    </row>
    <row r="735" ht="15" customHeight="1">
      <c r="A735" s="72" t="s">
        <v>230</v>
      </c>
      <c r="B735" s="73" t="s">
        <v>242</v>
      </c>
      <c r="C735" s="490" t="s">
        <v>408</v>
      </c>
      <c r="D735" s="490"/>
      <c r="E735" s="490"/>
      <c r="F735" s="490"/>
      <c r="G735" s="490"/>
      <c r="H735" s="490" t="s">
        <v>409</v>
      </c>
      <c r="I735" s="490"/>
      <c r="J735" s="490"/>
      <c r="K735" s="490"/>
      <c r="L735" s="491"/>
      <c r="M735" s="67"/>
    </row>
    <row r="736" ht="15" customHeight="1">
      <c r="A736" s="75"/>
      <c r="B736" s="76" t="s">
        <v>250</v>
      </c>
      <c r="C736" s="76" t="s">
        <v>364</v>
      </c>
      <c r="D736" s="76" t="s">
        <v>410</v>
      </c>
      <c r="E736" s="76" t="s">
        <v>411</v>
      </c>
      <c r="F736" s="76" t="s">
        <v>412</v>
      </c>
      <c r="G736" s="76" t="s">
        <v>413</v>
      </c>
      <c r="H736" s="76" t="s">
        <v>364</v>
      </c>
      <c r="I736" s="76" t="s">
        <v>414</v>
      </c>
      <c r="J736" s="76" t="s">
        <v>415</v>
      </c>
      <c r="K736" s="76" t="s">
        <v>416</v>
      </c>
      <c r="L736" s="77" t="s">
        <v>417</v>
      </c>
      <c r="M736" s="67"/>
    </row>
    <row r="737" ht="15" customHeight="1">
      <c r="A737" s="182">
        <f>A657</f>
        <v>101</v>
      </c>
      <c r="B737" s="131" t="str">
        <f>B657</f>
        <v>Negative</v>
      </c>
      <c r="C737" s="195" t="str">
        <f>C417</f>
        <v>BF</v>
      </c>
      <c r="D737" s="131">
        <f>IF(B737="Positive",INPUT!AO3,INPUT!AP3)</f>
        <v>380</v>
      </c>
      <c r="E737" s="131" t="str">
        <f>M417</f>
        <v>BF</v>
      </c>
      <c r="F737" s="131" t="e">
        <f>J657</f>
        <v>#DIV/0!</v>
      </c>
      <c r="G737" s="131" t="e">
        <f>IF(C737="OF",M417,J657)</f>
        <v>#DIV/0!</v>
      </c>
      <c r="H737" s="195" t="str">
        <f>IF(B737="Positive","BF",IF(G337=2,"OF","BF"))</f>
        <v>OF</v>
      </c>
      <c r="I737" s="131">
        <f>IF(B737="Positive",INPUT!AP3,INPUT!AO3)</f>
        <v>380</v>
      </c>
      <c r="J737" s="131">
        <f>I737*N337</f>
        <v>379.49646488731116</v>
      </c>
      <c r="K737" s="195">
        <f>J737*M497</f>
        <v>379.49620986666224</v>
      </c>
      <c r="L737" s="194">
        <f>IF(H737="BF",K737,J737)</f>
        <v>379.49646488731116</v>
      </c>
      <c r="M737" s="67"/>
    </row>
    <row r="738">
      <c r="A738" s="182">
        <f>A658</f>
        <v>101</v>
      </c>
      <c r="B738" s="131" t="str">
        <f>B658</f>
        <v>Negative</v>
      </c>
      <c r="C738" s="195" t="str">
        <f>C418</f>
        <v>BF</v>
      </c>
      <c r="D738" s="131">
        <f>IF(B738="Positive",INPUT!AO4,INPUT!AP4)</f>
        <v>380</v>
      </c>
      <c r="E738" s="131" t="str">
        <f>M418</f>
        <v>BF</v>
      </c>
      <c r="F738" s="131" t="e">
        <f>J658</f>
        <v>#DIV/0!</v>
      </c>
      <c r="G738" s="131" t="e">
        <f>IF(C738="OF",M418,J658)</f>
        <v>#DIV/0!</v>
      </c>
      <c r="H738" s="195" t="str">
        <f>IF(B738="Positive","BF",IF(G338=2,"OF","BF"))</f>
        <v>OF</v>
      </c>
      <c r="I738" s="131">
        <f>IF(B738="Positive",INPUT!AP4,INPUT!AO4)</f>
        <v>380</v>
      </c>
      <c r="J738" s="131">
        <f>I738*N338</f>
        <v>379.49646488731116</v>
      </c>
      <c r="K738" s="195">
        <f>J738*M498</f>
        <v>379.49620986666224</v>
      </c>
      <c r="L738" s="194">
        <f>IF(H738="BF",K738,J738)</f>
        <v>379.49646488731116</v>
      </c>
      <c r="M738" s="67"/>
    </row>
    <row r="739">
      <c r="A739" s="182">
        <f>A659</f>
        <v>101</v>
      </c>
      <c r="B739" s="131" t="str">
        <f>B659</f>
        <v>Negative</v>
      </c>
      <c r="C739" s="195" t="str">
        <f>C419</f>
        <v>BF</v>
      </c>
      <c r="D739" s="131">
        <f>IF(B739="Positive",INPUT!AO5,INPUT!AP5)</f>
        <v>380</v>
      </c>
      <c r="E739" s="131" t="str">
        <f>M419</f>
        <v>BF</v>
      </c>
      <c r="F739" s="131" t="e">
        <f>J659</f>
        <v>#DIV/0!</v>
      </c>
      <c r="G739" s="131" t="e">
        <f>IF(C739="OF",M419,J659)</f>
        <v>#DIV/0!</v>
      </c>
      <c r="H739" s="195" t="str">
        <f>IF(B739="Positive","BF",IF(G339=2,"OF","BF"))</f>
        <v>OF</v>
      </c>
      <c r="I739" s="131">
        <f>IF(B739="Positive",INPUT!AP5,INPUT!AO5)</f>
        <v>380</v>
      </c>
      <c r="J739" s="131">
        <f>I739*N339</f>
        <v>379.49646488731116</v>
      </c>
      <c r="K739" s="195">
        <f>J739*M499</f>
        <v>379.49620986666224</v>
      </c>
      <c r="L739" s="194">
        <f>IF(H739="BF",K739,J739)</f>
        <v>379.49646488731116</v>
      </c>
      <c r="M739" s="67"/>
    </row>
    <row r="740">
      <c r="A740" s="182">
        <f>A660</f>
        <v>101</v>
      </c>
      <c r="B740" s="131" t="str">
        <f>B660</f>
        <v>Negative</v>
      </c>
      <c r="C740" s="195" t="str">
        <f>C420</f>
        <v>BF</v>
      </c>
      <c r="D740" s="131">
        <f>IF(B740="Positive",INPUT!AO6,INPUT!AP6)</f>
        <v>380</v>
      </c>
      <c r="E740" s="131" t="str">
        <f>M420</f>
        <v>BF</v>
      </c>
      <c r="F740" s="131" t="e">
        <f>J660</f>
        <v>#DIV/0!</v>
      </c>
      <c r="G740" s="131" t="e">
        <f>IF(C740="OF",M420,J660)</f>
        <v>#DIV/0!</v>
      </c>
      <c r="H740" s="195" t="str">
        <f>IF(B740="Positive","BF",IF(G340=2,"OF","BF"))</f>
        <v>OF</v>
      </c>
      <c r="I740" s="131">
        <f>IF(B740="Positive",INPUT!AP6,INPUT!AO6)</f>
        <v>380</v>
      </c>
      <c r="J740" s="131">
        <f>I740*N340</f>
        <v>379.49646488731116</v>
      </c>
      <c r="K740" s="195">
        <f>J740*M500</f>
        <v>379.49620986666224</v>
      </c>
      <c r="L740" s="194">
        <f>IF(H740="BF",K740,J740)</f>
        <v>379.49646488731116</v>
      </c>
      <c r="M740" s="67"/>
    </row>
    <row r="741">
      <c r="A741" s="182">
        <f>A661</f>
        <v>101</v>
      </c>
      <c r="B741" s="131" t="str">
        <f>B661</f>
        <v>Negative</v>
      </c>
      <c r="C741" s="195" t="str">
        <f>C421</f>
        <v>BF</v>
      </c>
      <c r="D741" s="131">
        <f>IF(B741="Positive",INPUT!AO7,INPUT!AP7)</f>
        <v>380</v>
      </c>
      <c r="E741" s="131" t="str">
        <f>M421</f>
        <v>BF</v>
      </c>
      <c r="F741" s="131" t="e">
        <f>J661</f>
        <v>#DIV/0!</v>
      </c>
      <c r="G741" s="131" t="e">
        <f>IF(C741="OF",M421,J661)</f>
        <v>#DIV/0!</v>
      </c>
      <c r="H741" s="195" t="str">
        <f>IF(B741="Positive","BF",IF(G341=2,"OF","BF"))</f>
        <v>OF</v>
      </c>
      <c r="I741" s="131">
        <f>IF(B741="Positive",INPUT!AP7,INPUT!AO7)</f>
        <v>380</v>
      </c>
      <c r="J741" s="131">
        <f>I741*N341</f>
        <v>379.49646488731116</v>
      </c>
      <c r="K741" s="195">
        <f>J741*M501</f>
        <v>379.49620986666224</v>
      </c>
      <c r="L741" s="194">
        <f>IF(H741="BF",K741,J741)</f>
        <v>379.49646488731116</v>
      </c>
      <c r="M741" s="67"/>
    </row>
    <row r="742">
      <c r="A742" s="182">
        <f>A662</f>
        <v>101</v>
      </c>
      <c r="B742" s="131" t="str">
        <f>B662</f>
        <v>Negative</v>
      </c>
      <c r="C742" s="195" t="str">
        <f>C422</f>
        <v>BF</v>
      </c>
      <c r="D742" s="131">
        <f>IF(B742="Positive",INPUT!AO8,INPUT!AP8)</f>
        <v>380</v>
      </c>
      <c r="E742" s="131" t="str">
        <f>M422</f>
        <v>BF</v>
      </c>
      <c r="F742" s="131" t="e">
        <f>J662</f>
        <v>#DIV/0!</v>
      </c>
      <c r="G742" s="131" t="e">
        <f>IF(C742="OF",M422,J662)</f>
        <v>#DIV/0!</v>
      </c>
      <c r="H742" s="195" t="str">
        <f>IF(B742="Positive","BF",IF(G342=2,"OF","BF"))</f>
        <v>OF</v>
      </c>
      <c r="I742" s="131">
        <f>IF(B742="Positive",INPUT!AP8,INPUT!AO8)</f>
        <v>380</v>
      </c>
      <c r="J742" s="131">
        <f>I742*N342</f>
        <v>379.49646488731116</v>
      </c>
      <c r="K742" s="195">
        <f>J742*M502</f>
        <v>379.49620986666224</v>
      </c>
      <c r="L742" s="194">
        <f>IF(H742="BF",K742,J742)</f>
        <v>379.49646488731116</v>
      </c>
      <c r="M742" s="67"/>
    </row>
    <row r="743">
      <c r="A743" s="182">
        <f>A663</f>
        <v>101</v>
      </c>
      <c r="B743" s="131" t="str">
        <f>B663</f>
        <v>Negative</v>
      </c>
      <c r="C743" s="195" t="str">
        <f>C423</f>
        <v>BF</v>
      </c>
      <c r="D743" s="131">
        <f>IF(B743="Positive",INPUT!AO9,INPUT!AP9)</f>
        <v>380</v>
      </c>
      <c r="E743" s="131" t="str">
        <f>M423</f>
        <v>BF</v>
      </c>
      <c r="F743" s="131" t="e">
        <f>J663</f>
        <v>#DIV/0!</v>
      </c>
      <c r="G743" s="131" t="e">
        <f>IF(C743="OF",M423,J663)</f>
        <v>#DIV/0!</v>
      </c>
      <c r="H743" s="195" t="str">
        <f>IF(B743="Positive","BF",IF(G343=2,"OF","BF"))</f>
        <v>OF</v>
      </c>
      <c r="I743" s="131">
        <f>IF(B743="Positive",INPUT!AP9,INPUT!AO9)</f>
        <v>380</v>
      </c>
      <c r="J743" s="131">
        <f>I743*N343</f>
        <v>379.49646488731116</v>
      </c>
      <c r="K743" s="195">
        <f>J743*M503</f>
        <v>379.49620986666224</v>
      </c>
      <c r="L743" s="194">
        <f>IF(H743="BF",K743,J743)</f>
        <v>379.49646488731116</v>
      </c>
      <c r="M743" s="67"/>
    </row>
    <row r="744">
      <c r="A744" s="182">
        <f>A664</f>
        <v>101</v>
      </c>
      <c r="B744" s="131" t="str">
        <f>B664</f>
        <v>Negative</v>
      </c>
      <c r="C744" s="195" t="str">
        <f>C424</f>
        <v>BF</v>
      </c>
      <c r="D744" s="131">
        <f>IF(B744="Positive",INPUT!AO10,INPUT!AP10)</f>
        <v>380</v>
      </c>
      <c r="E744" s="131" t="str">
        <f>M424</f>
        <v>BF</v>
      </c>
      <c r="F744" s="131" t="e">
        <f>J664</f>
        <v>#DIV/0!</v>
      </c>
      <c r="G744" s="131" t="e">
        <f>IF(C744="OF",M424,J664)</f>
        <v>#DIV/0!</v>
      </c>
      <c r="H744" s="195" t="str">
        <f>IF(B744="Positive","BF",IF(G344=2,"OF","BF"))</f>
        <v>OF</v>
      </c>
      <c r="I744" s="131">
        <f>IF(B744="Positive",INPUT!AP10,INPUT!AO10)</f>
        <v>380</v>
      </c>
      <c r="J744" s="131">
        <f>I744*N344</f>
        <v>379.49646488731116</v>
      </c>
      <c r="K744" s="195">
        <f>J744*M504</f>
        <v>379.49620986666224</v>
      </c>
      <c r="L744" s="194">
        <f>IF(H744="BF",K744,J744)</f>
        <v>379.49646488731116</v>
      </c>
      <c r="M744" s="67"/>
    </row>
    <row r="745">
      <c r="A745" s="182">
        <f>A665</f>
        <v>101</v>
      </c>
      <c r="B745" s="131" t="str">
        <f>B665</f>
        <v>Negative</v>
      </c>
      <c r="C745" s="195" t="str">
        <f>C425</f>
        <v>BF</v>
      </c>
      <c r="D745" s="131">
        <f>IF(B745="Positive",INPUT!AO11,INPUT!AP11)</f>
        <v>380</v>
      </c>
      <c r="E745" s="131" t="str">
        <f>M425</f>
        <v>BF</v>
      </c>
      <c r="F745" s="131" t="e">
        <f>J665</f>
        <v>#DIV/0!</v>
      </c>
      <c r="G745" s="131" t="e">
        <f>IF(C745="OF",M425,J665)</f>
        <v>#DIV/0!</v>
      </c>
      <c r="H745" s="195" t="str">
        <f>IF(B745="Positive","BF",IF(G345=2,"OF","BF"))</f>
        <v>OF</v>
      </c>
      <c r="I745" s="131">
        <f>IF(B745="Positive",INPUT!AP11,INPUT!AO11)</f>
        <v>380</v>
      </c>
      <c r="J745" s="131">
        <f>I745*N345</f>
        <v>379.49646488731116</v>
      </c>
      <c r="K745" s="195">
        <f>J745*M505</f>
        <v>379.49620986666224</v>
      </c>
      <c r="L745" s="194">
        <f>IF(H745="BF",K745,J745)</f>
        <v>379.49646488731116</v>
      </c>
      <c r="M745" s="67"/>
    </row>
    <row r="746">
      <c r="A746" s="182">
        <f>A666</f>
        <v>101</v>
      </c>
      <c r="B746" s="131" t="str">
        <f>B666</f>
        <v>Negative</v>
      </c>
      <c r="C746" s="195" t="str">
        <f>C426</f>
        <v>BF</v>
      </c>
      <c r="D746" s="131">
        <f>IF(B746="Positive",INPUT!AO12,INPUT!AP12)</f>
        <v>380</v>
      </c>
      <c r="E746" s="131" t="str">
        <f>M426</f>
        <v>BF</v>
      </c>
      <c r="F746" s="131" t="e">
        <f>J666</f>
        <v>#DIV/0!</v>
      </c>
      <c r="G746" s="131" t="e">
        <f>IF(C746="OF",M426,J666)</f>
        <v>#DIV/0!</v>
      </c>
      <c r="H746" s="195" t="str">
        <f>IF(B746="Positive","BF",IF(G346=2,"OF","BF"))</f>
        <v>OF</v>
      </c>
      <c r="I746" s="131">
        <f>IF(B746="Positive",INPUT!AP12,INPUT!AO12)</f>
        <v>380</v>
      </c>
      <c r="J746" s="131">
        <f>I746*N346</f>
        <v>379.49646488731116</v>
      </c>
      <c r="K746" s="195">
        <f>J746*M506</f>
        <v>379.49620986666224</v>
      </c>
      <c r="L746" s="194">
        <f>IF(H746="BF",K746,J746)</f>
        <v>379.49646488731116</v>
      </c>
      <c r="M746" s="67"/>
    </row>
    <row r="747">
      <c r="A747" s="182">
        <f>A667</f>
        <v>101</v>
      </c>
      <c r="B747" s="131" t="str">
        <f>B667</f>
        <v>Negative</v>
      </c>
      <c r="C747" s="195" t="str">
        <f>C427</f>
        <v>BF</v>
      </c>
      <c r="D747" s="131">
        <f>IF(B747="Positive",INPUT!AO13,INPUT!AP13)</f>
        <v>380</v>
      </c>
      <c r="E747" s="131" t="str">
        <f>M427</f>
        <v>BF</v>
      </c>
      <c r="F747" s="131" t="e">
        <f>J667</f>
        <v>#DIV/0!</v>
      </c>
      <c r="G747" s="131" t="e">
        <f>IF(C747="OF",M427,J667)</f>
        <v>#DIV/0!</v>
      </c>
      <c r="H747" s="195" t="str">
        <f>IF(B747="Positive","BF",IF(G347=2,"OF","BF"))</f>
        <v>OF</v>
      </c>
      <c r="I747" s="131">
        <f>IF(B747="Positive",INPUT!AP13,INPUT!AO13)</f>
        <v>380</v>
      </c>
      <c r="J747" s="131">
        <f>I747*N347</f>
        <v>379.49646488731116</v>
      </c>
      <c r="K747" s="195">
        <f>J747*M507</f>
        <v>379.49620986666224</v>
      </c>
      <c r="L747" s="194">
        <f>IF(H747="BF",K747,J747)</f>
        <v>379.49646488731116</v>
      </c>
      <c r="M747" s="67"/>
    </row>
    <row r="748">
      <c r="A748" s="182">
        <f>A668</f>
        <v>101</v>
      </c>
      <c r="B748" s="131" t="str">
        <f>B668</f>
        <v>Negative</v>
      </c>
      <c r="C748" s="195" t="str">
        <f>C428</f>
        <v>BF</v>
      </c>
      <c r="D748" s="131">
        <f>IF(B748="Positive",INPUT!AO14,INPUT!AP14)</f>
        <v>380</v>
      </c>
      <c r="E748" s="131" t="str">
        <f>M428</f>
        <v>BF</v>
      </c>
      <c r="F748" s="131" t="e">
        <f>J668</f>
        <v>#DIV/0!</v>
      </c>
      <c r="G748" s="131" t="e">
        <f>IF(C748="OF",M428,J668)</f>
        <v>#DIV/0!</v>
      </c>
      <c r="H748" s="195" t="str">
        <f>IF(B748="Positive","BF",IF(G348=2,"OF","BF"))</f>
        <v>OF</v>
      </c>
      <c r="I748" s="131">
        <f>IF(B748="Positive",INPUT!AP14,INPUT!AO14)</f>
        <v>380</v>
      </c>
      <c r="J748" s="131">
        <f>I748*N348</f>
        <v>379.49646488731116</v>
      </c>
      <c r="K748" s="195">
        <f>J748*M508</f>
        <v>379.49620986666224</v>
      </c>
      <c r="L748" s="194">
        <f>IF(H748="BF",K748,J748)</f>
        <v>379.49646488731116</v>
      </c>
      <c r="M748" s="67"/>
    </row>
    <row r="749">
      <c r="A749" s="182">
        <f>A669</f>
        <v>101</v>
      </c>
      <c r="B749" s="131" t="str">
        <f>B669</f>
        <v>Negative</v>
      </c>
      <c r="C749" s="195" t="str">
        <f>C429</f>
        <v>BF</v>
      </c>
      <c r="D749" s="131">
        <f>IF(B749="Positive",INPUT!AO15,INPUT!AP15)</f>
        <v>380</v>
      </c>
      <c r="E749" s="131" t="str">
        <f>M429</f>
        <v>BF</v>
      </c>
      <c r="F749" s="131" t="e">
        <f>J669</f>
        <v>#DIV/0!</v>
      </c>
      <c r="G749" s="131" t="e">
        <f>IF(C749="OF",M429,J669)</f>
        <v>#DIV/0!</v>
      </c>
      <c r="H749" s="195" t="str">
        <f>IF(B749="Positive","BF",IF(G349=2,"OF","BF"))</f>
        <v>OF</v>
      </c>
      <c r="I749" s="131">
        <f>IF(B749="Positive",INPUT!AP15,INPUT!AO15)</f>
        <v>380</v>
      </c>
      <c r="J749" s="131">
        <f>I749*N349</f>
        <v>379.49646488731116</v>
      </c>
      <c r="K749" s="195">
        <f>J749*M509</f>
        <v>379.49620986666224</v>
      </c>
      <c r="L749" s="194">
        <f>IF(H749="BF",K749,J749)</f>
        <v>379.49646488731116</v>
      </c>
      <c r="M749" s="67"/>
    </row>
    <row r="750">
      <c r="A750" s="182">
        <f>A670</f>
        <v>101</v>
      </c>
      <c r="B750" s="131" t="str">
        <f>B670</f>
        <v>Negative</v>
      </c>
      <c r="C750" s="195" t="str">
        <f>C430</f>
        <v>BF</v>
      </c>
      <c r="D750" s="131">
        <f>IF(B750="Positive",INPUT!AO16,INPUT!AP16)</f>
        <v>380</v>
      </c>
      <c r="E750" s="131" t="str">
        <f>M430</f>
        <v>BF</v>
      </c>
      <c r="F750" s="131" t="e">
        <f>J670</f>
        <v>#DIV/0!</v>
      </c>
      <c r="G750" s="131" t="e">
        <f>IF(C750="OF",M430,J670)</f>
        <v>#DIV/0!</v>
      </c>
      <c r="H750" s="195" t="str">
        <f>IF(B750="Positive","BF",IF(G350=2,"OF","BF"))</f>
        <v>OF</v>
      </c>
      <c r="I750" s="131">
        <f>IF(B750="Positive",INPUT!AP16,INPUT!AO16)</f>
        <v>380</v>
      </c>
      <c r="J750" s="131">
        <f>I750*N350</f>
        <v>379.49646488731116</v>
      </c>
      <c r="K750" s="195">
        <f>J750*M510</f>
        <v>379.49620986666224</v>
      </c>
      <c r="L750" s="194">
        <f>IF(H750="BF",K750,J750)</f>
        <v>379.49646488731116</v>
      </c>
      <c r="M750" s="67"/>
    </row>
    <row r="751">
      <c r="A751" s="182">
        <f>A671</f>
        <v>101</v>
      </c>
      <c r="B751" s="131" t="str">
        <f>B671</f>
        <v>Negative</v>
      </c>
      <c r="C751" s="195" t="str">
        <f>C431</f>
        <v>BF</v>
      </c>
      <c r="D751" s="131">
        <f>IF(B751="Positive",INPUT!AO17,INPUT!AP17)</f>
        <v>380</v>
      </c>
      <c r="E751" s="131" t="str">
        <f>M431</f>
        <v>BF</v>
      </c>
      <c r="F751" s="131" t="e">
        <f>J671</f>
        <v>#DIV/0!</v>
      </c>
      <c r="G751" s="131" t="e">
        <f>IF(C751="OF",M431,J671)</f>
        <v>#DIV/0!</v>
      </c>
      <c r="H751" s="195" t="str">
        <f>IF(B751="Positive","BF",IF(G351=2,"OF","BF"))</f>
        <v>OF</v>
      </c>
      <c r="I751" s="131">
        <f>IF(B751="Positive",INPUT!AP17,INPUT!AO17)</f>
        <v>380</v>
      </c>
      <c r="J751" s="131">
        <f>I751*N351</f>
        <v>379.49646488731116</v>
      </c>
      <c r="K751" s="195">
        <f>J751*M511</f>
        <v>379.49620986666224</v>
      </c>
      <c r="L751" s="194">
        <f>IF(H751="BF",K751,J751)</f>
        <v>379.49646488731116</v>
      </c>
      <c r="M751" s="67"/>
    </row>
    <row r="752">
      <c r="A752" s="182">
        <f>A672</f>
        <v>101</v>
      </c>
      <c r="B752" s="131" t="str">
        <f>B672</f>
        <v>Negative</v>
      </c>
      <c r="C752" s="195" t="str">
        <f>C432</f>
        <v>BF</v>
      </c>
      <c r="D752" s="131">
        <f>IF(B752="Positive",INPUT!AO18,INPUT!AP18)</f>
        <v>380</v>
      </c>
      <c r="E752" s="131" t="str">
        <f>M432</f>
        <v>BF</v>
      </c>
      <c r="F752" s="131" t="e">
        <f>J672</f>
        <v>#DIV/0!</v>
      </c>
      <c r="G752" s="131" t="e">
        <f>IF(C752="OF",M432,J672)</f>
        <v>#DIV/0!</v>
      </c>
      <c r="H752" s="195" t="str">
        <f>IF(B752="Positive","BF",IF(G352=2,"OF","BF"))</f>
        <v>OF</v>
      </c>
      <c r="I752" s="131">
        <f>IF(B752="Positive",INPUT!AP18,INPUT!AO18)</f>
        <v>380</v>
      </c>
      <c r="J752" s="131">
        <f>I752*N352</f>
        <v>379.49646488731116</v>
      </c>
      <c r="K752" s="195">
        <f>J752*M512</f>
        <v>379.49620986666224</v>
      </c>
      <c r="L752" s="194">
        <f>IF(H752="BF",K752,J752)</f>
        <v>379.49646488731116</v>
      </c>
      <c r="M752" s="67"/>
    </row>
    <row r="753">
      <c r="A753" s="182">
        <f>A673</f>
        <v>101</v>
      </c>
      <c r="B753" s="131" t="str">
        <f>B673</f>
        <v>Negative</v>
      </c>
      <c r="C753" s="195" t="str">
        <f>C433</f>
        <v>BF</v>
      </c>
      <c r="D753" s="131">
        <f>IF(B753="Positive",INPUT!AO19,INPUT!AP19)</f>
        <v>380</v>
      </c>
      <c r="E753" s="131" t="str">
        <f>M433</f>
        <v>BF</v>
      </c>
      <c r="F753" s="131" t="e">
        <f>J673</f>
        <v>#DIV/0!</v>
      </c>
      <c r="G753" s="131" t="e">
        <f>IF(C753="OF",M433,J673)</f>
        <v>#DIV/0!</v>
      </c>
      <c r="H753" s="195" t="str">
        <f>IF(B753="Positive","BF",IF(G353=2,"OF","BF"))</f>
        <v>OF</v>
      </c>
      <c r="I753" s="131">
        <f>IF(B753="Positive",INPUT!AP19,INPUT!AO19)</f>
        <v>380</v>
      </c>
      <c r="J753" s="131">
        <f>I753*N353</f>
        <v>379.49646488731116</v>
      </c>
      <c r="K753" s="195">
        <f>J753*M513</f>
        <v>379.49620986666224</v>
      </c>
      <c r="L753" s="194">
        <f>IF(H753="BF",K753,J753)</f>
        <v>379.49646488731116</v>
      </c>
      <c r="M753" s="67"/>
    </row>
    <row r="754">
      <c r="A754" s="182">
        <f>A674</f>
        <v>101</v>
      </c>
      <c r="B754" s="131" t="str">
        <f>B674</f>
        <v>Negative</v>
      </c>
      <c r="C754" s="195" t="str">
        <f>C434</f>
        <v>BF</v>
      </c>
      <c r="D754" s="131">
        <f>IF(B754="Positive",INPUT!AO20,INPUT!AP20)</f>
        <v>380</v>
      </c>
      <c r="E754" s="131" t="str">
        <f>M434</f>
        <v>BF</v>
      </c>
      <c r="F754" s="131" t="e">
        <f>J674</f>
        <v>#DIV/0!</v>
      </c>
      <c r="G754" s="131" t="e">
        <f>IF(C754="OF",M434,J674)</f>
        <v>#DIV/0!</v>
      </c>
      <c r="H754" s="195" t="str">
        <f>IF(B754="Positive","BF",IF(G354=2,"OF","BF"))</f>
        <v>OF</v>
      </c>
      <c r="I754" s="131">
        <f>IF(B754="Positive",INPUT!AP20,INPUT!AO20)</f>
        <v>380</v>
      </c>
      <c r="J754" s="131">
        <f>I754*N354</f>
        <v>379.49646488731116</v>
      </c>
      <c r="K754" s="195">
        <f>J754*M514</f>
        <v>379.49620986666224</v>
      </c>
      <c r="L754" s="194">
        <f>IF(H754="BF",K754,J754)</f>
        <v>379.49646488731116</v>
      </c>
      <c r="M754" s="67"/>
    </row>
    <row r="755">
      <c r="A755" s="182">
        <f>A675</f>
        <v>101</v>
      </c>
      <c r="B755" s="131" t="str">
        <f>B675</f>
        <v>Negative</v>
      </c>
      <c r="C755" s="195" t="str">
        <f>C435</f>
        <v>BF</v>
      </c>
      <c r="D755" s="131">
        <f>IF(B755="Positive",INPUT!AO21,INPUT!AP21)</f>
        <v>380</v>
      </c>
      <c r="E755" s="131" t="str">
        <f>M435</f>
        <v>BF</v>
      </c>
      <c r="F755" s="131" t="e">
        <f>J675</f>
        <v>#DIV/0!</v>
      </c>
      <c r="G755" s="131" t="e">
        <f>IF(C755="OF",M435,J675)</f>
        <v>#DIV/0!</v>
      </c>
      <c r="H755" s="195" t="str">
        <f>IF(B755="Positive","BF",IF(G355=2,"OF","BF"))</f>
        <v>OF</v>
      </c>
      <c r="I755" s="131">
        <f>IF(B755="Positive",INPUT!AP21,INPUT!AO21)</f>
        <v>380</v>
      </c>
      <c r="J755" s="131">
        <f>I755*N355</f>
        <v>379.49646488731116</v>
      </c>
      <c r="K755" s="195">
        <f>J755*M515</f>
        <v>379.49620986666224</v>
      </c>
      <c r="L755" s="194">
        <f>IF(H755="BF",K755,J755)</f>
        <v>379.49646488731116</v>
      </c>
      <c r="M755" s="67"/>
    </row>
    <row r="756">
      <c r="A756" s="182">
        <f>A676</f>
        <v>101</v>
      </c>
      <c r="B756" s="131" t="str">
        <f>B676</f>
        <v>Negative</v>
      </c>
      <c r="C756" s="195" t="str">
        <f>C436</f>
        <v>BF</v>
      </c>
      <c r="D756" s="131">
        <f>IF(B756="Positive",INPUT!AO22,INPUT!AP22)</f>
        <v>380</v>
      </c>
      <c r="E756" s="131" t="str">
        <f>M436</f>
        <v>BF</v>
      </c>
      <c r="F756" s="131" t="e">
        <f>J676</f>
        <v>#DIV/0!</v>
      </c>
      <c r="G756" s="131" t="e">
        <f>IF(C756="OF",M436,J676)</f>
        <v>#DIV/0!</v>
      </c>
      <c r="H756" s="195" t="str">
        <f>IF(B756="Positive","BF",IF(G356=2,"OF","BF"))</f>
        <v>OF</v>
      </c>
      <c r="I756" s="131">
        <f>IF(B756="Positive",INPUT!AP22,INPUT!AO22)</f>
        <v>380</v>
      </c>
      <c r="J756" s="131">
        <f>I756*N356</f>
        <v>379.49646488731116</v>
      </c>
      <c r="K756" s="195">
        <f>J756*M516</f>
        <v>379.49620986666224</v>
      </c>
      <c r="L756" s="194">
        <f>IF(H756="BF",K756,J756)</f>
        <v>379.49646488731116</v>
      </c>
      <c r="M756" s="67"/>
    </row>
    <row r="757">
      <c r="A757" s="182">
        <f>A677</f>
        <v>101</v>
      </c>
      <c r="B757" s="131" t="str">
        <f>B677</f>
        <v>Negative</v>
      </c>
      <c r="C757" s="195" t="str">
        <f>C437</f>
        <v>BF</v>
      </c>
      <c r="D757" s="131">
        <f>IF(B757="Positive",INPUT!AO23,INPUT!AP23)</f>
        <v>380</v>
      </c>
      <c r="E757" s="131" t="str">
        <f>M437</f>
        <v>BF</v>
      </c>
      <c r="F757" s="131" t="e">
        <f>J677</f>
        <v>#DIV/0!</v>
      </c>
      <c r="G757" s="131" t="e">
        <f>IF(C757="OF",M437,J677)</f>
        <v>#DIV/0!</v>
      </c>
      <c r="H757" s="195" t="str">
        <f>IF(B757="Positive","BF",IF(G357=2,"OF","BF"))</f>
        <v>OF</v>
      </c>
      <c r="I757" s="131">
        <f>IF(B757="Positive",INPUT!AP23,INPUT!AO23)</f>
        <v>380</v>
      </c>
      <c r="J757" s="131">
        <f>I757*N357</f>
        <v>379.49646488731116</v>
      </c>
      <c r="K757" s="195">
        <f>J757*M517</f>
        <v>379.49620986666224</v>
      </c>
      <c r="L757" s="194">
        <f>IF(H757="BF",K757,J757)</f>
        <v>379.49646488731116</v>
      </c>
      <c r="M757" s="67"/>
    </row>
    <row r="758">
      <c r="A758" s="182">
        <f>A678</f>
        <v>101</v>
      </c>
      <c r="B758" s="131" t="str">
        <f>B678</f>
        <v>Negative</v>
      </c>
      <c r="C758" s="195" t="str">
        <f>C438</f>
        <v>BF</v>
      </c>
      <c r="D758" s="131">
        <f>IF(B758="Positive",INPUT!AO24,INPUT!AP24)</f>
        <v>380</v>
      </c>
      <c r="E758" s="131" t="str">
        <f>M438</f>
        <v>BF</v>
      </c>
      <c r="F758" s="131" t="e">
        <f>J678</f>
        <v>#DIV/0!</v>
      </c>
      <c r="G758" s="131" t="e">
        <f>IF(C758="OF",M438,J678)</f>
        <v>#DIV/0!</v>
      </c>
      <c r="H758" s="195" t="str">
        <f>IF(B758="Positive","BF",IF(G358=2,"OF","BF"))</f>
        <v>OF</v>
      </c>
      <c r="I758" s="131">
        <f>IF(B758="Positive",INPUT!AP24,INPUT!AO24)</f>
        <v>380</v>
      </c>
      <c r="J758" s="131">
        <f>I758*N358</f>
        <v>379.49646488731116</v>
      </c>
      <c r="K758" s="195">
        <f>J758*M518</f>
        <v>379.49620986666224</v>
      </c>
      <c r="L758" s="194">
        <f>IF(H758="BF",K758,J758)</f>
        <v>379.49646488731116</v>
      </c>
      <c r="M758" s="67"/>
    </row>
    <row r="759">
      <c r="A759" s="182">
        <f>A679</f>
        <v>101</v>
      </c>
      <c r="B759" s="131" t="str">
        <f>B679</f>
        <v>Negative</v>
      </c>
      <c r="C759" s="195" t="str">
        <f>C439</f>
        <v>BF</v>
      </c>
      <c r="D759" s="131">
        <f>IF(B759="Positive",INPUT!AO25,INPUT!AP25)</f>
        <v>380</v>
      </c>
      <c r="E759" s="131" t="str">
        <f>M439</f>
        <v>BF</v>
      </c>
      <c r="F759" s="131" t="e">
        <f>J679</f>
        <v>#DIV/0!</v>
      </c>
      <c r="G759" s="131" t="e">
        <f>IF(C759="OF",M439,J679)</f>
        <v>#DIV/0!</v>
      </c>
      <c r="H759" s="195" t="str">
        <f>IF(B759="Positive","BF",IF(G359=2,"OF","BF"))</f>
        <v>OF</v>
      </c>
      <c r="I759" s="131">
        <f>IF(B759="Positive",INPUT!AP25,INPUT!AO25)</f>
        <v>380</v>
      </c>
      <c r="J759" s="131">
        <f>I759*N359</f>
        <v>379.49646488731116</v>
      </c>
      <c r="K759" s="195">
        <f>J759*M519</f>
        <v>379.49620986666224</v>
      </c>
      <c r="L759" s="194">
        <f>IF(H759="BF",K759,J759)</f>
        <v>379.49646488731116</v>
      </c>
      <c r="M759" s="67"/>
    </row>
    <row r="760">
      <c r="A760" s="182">
        <f>A680</f>
        <v>101</v>
      </c>
      <c r="B760" s="131" t="str">
        <f>B680</f>
        <v>Negative</v>
      </c>
      <c r="C760" s="195" t="str">
        <f>C440</f>
        <v>BF</v>
      </c>
      <c r="D760" s="131">
        <f>IF(B760="Positive",INPUT!AO26,INPUT!AP26)</f>
        <v>380</v>
      </c>
      <c r="E760" s="131" t="str">
        <f>M440</f>
        <v>BF</v>
      </c>
      <c r="F760" s="131" t="e">
        <f>J680</f>
        <v>#DIV/0!</v>
      </c>
      <c r="G760" s="131" t="e">
        <f>IF(C760="OF",M440,J680)</f>
        <v>#DIV/0!</v>
      </c>
      <c r="H760" s="195" t="str">
        <f>IF(B760="Positive","BF",IF(G360=2,"OF","BF"))</f>
        <v>OF</v>
      </c>
      <c r="I760" s="131">
        <f>IF(B760="Positive",INPUT!AP26,INPUT!AO26)</f>
        <v>380</v>
      </c>
      <c r="J760" s="131">
        <f>I760*N360</f>
        <v>379.49646488731116</v>
      </c>
      <c r="K760" s="195">
        <f>J760*M520</f>
        <v>379.49620986666224</v>
      </c>
      <c r="L760" s="194">
        <f>IF(H760="BF",K760,J760)</f>
        <v>379.49646488731116</v>
      </c>
      <c r="M760" s="67"/>
    </row>
    <row r="761">
      <c r="A761" s="182">
        <f>A681</f>
        <v>101</v>
      </c>
      <c r="B761" s="131" t="str">
        <f>B681</f>
        <v>Negative</v>
      </c>
      <c r="C761" s="195" t="str">
        <f>C441</f>
        <v>BF</v>
      </c>
      <c r="D761" s="131">
        <f>IF(B761="Positive",INPUT!AO27,INPUT!AP27)</f>
        <v>380</v>
      </c>
      <c r="E761" s="131" t="str">
        <f>M441</f>
        <v>BF</v>
      </c>
      <c r="F761" s="131" t="e">
        <f>J681</f>
        <v>#DIV/0!</v>
      </c>
      <c r="G761" s="131" t="e">
        <f>IF(C761="OF",M441,J681)</f>
        <v>#DIV/0!</v>
      </c>
      <c r="H761" s="195" t="str">
        <f>IF(B761="Positive","BF",IF(G361=2,"OF","BF"))</f>
        <v>OF</v>
      </c>
      <c r="I761" s="131">
        <f>IF(B761="Positive",INPUT!AP27,INPUT!AO27)</f>
        <v>380</v>
      </c>
      <c r="J761" s="131">
        <f>I761*N361</f>
        <v>379.49646488731116</v>
      </c>
      <c r="K761" s="195">
        <f>J761*M521</f>
        <v>379.49620986666224</v>
      </c>
      <c r="L761" s="194">
        <f>IF(H761="BF",K761,J761)</f>
        <v>379.49646488731116</v>
      </c>
      <c r="M761" s="67"/>
    </row>
    <row r="762">
      <c r="A762" s="182">
        <f>A682</f>
        <v>101</v>
      </c>
      <c r="B762" s="131" t="str">
        <f>B682</f>
        <v>Negative</v>
      </c>
      <c r="C762" s="195" t="str">
        <f>C442</f>
        <v>BF</v>
      </c>
      <c r="D762" s="131">
        <f>IF(B762="Positive",INPUT!AO28,INPUT!AP28)</f>
        <v>380</v>
      </c>
      <c r="E762" s="131" t="str">
        <f>M442</f>
        <v>BF</v>
      </c>
      <c r="F762" s="131" t="e">
        <f>J682</f>
        <v>#DIV/0!</v>
      </c>
      <c r="G762" s="131" t="e">
        <f>IF(C762="OF",M442,J682)</f>
        <v>#DIV/0!</v>
      </c>
      <c r="H762" s="195" t="str">
        <f>IF(B762="Positive","BF",IF(G362=2,"OF","BF"))</f>
        <v>OF</v>
      </c>
      <c r="I762" s="131">
        <f>IF(B762="Positive",INPUT!AP28,INPUT!AO28)</f>
        <v>380</v>
      </c>
      <c r="J762" s="131">
        <f>I762*N362</f>
        <v>379.49646488731116</v>
      </c>
      <c r="K762" s="195">
        <f>J762*M522</f>
        <v>379.49620986666224</v>
      </c>
      <c r="L762" s="194">
        <f>IF(H762="BF",K762,J762)</f>
        <v>379.49646488731116</v>
      </c>
      <c r="M762" s="67"/>
    </row>
    <row r="763">
      <c r="A763" s="182">
        <f>A683</f>
        <v>101</v>
      </c>
      <c r="B763" s="131" t="str">
        <f>B683</f>
        <v>Negative</v>
      </c>
      <c r="C763" s="195" t="str">
        <f>C443</f>
        <v>BF</v>
      </c>
      <c r="D763" s="131">
        <f>IF(B763="Positive",INPUT!AO29,INPUT!AP29)</f>
        <v>380</v>
      </c>
      <c r="E763" s="131" t="str">
        <f>M443</f>
        <v>BF</v>
      </c>
      <c r="F763" s="131" t="e">
        <f>J683</f>
        <v>#DIV/0!</v>
      </c>
      <c r="G763" s="131" t="e">
        <f>IF(C763="OF",M443,J683)</f>
        <v>#DIV/0!</v>
      </c>
      <c r="H763" s="195" t="str">
        <f>IF(B763="Positive","BF",IF(G363=2,"OF","BF"))</f>
        <v>OF</v>
      </c>
      <c r="I763" s="131">
        <f>IF(B763="Positive",INPUT!AP29,INPUT!AO29)</f>
        <v>380</v>
      </c>
      <c r="J763" s="131">
        <f>I763*N363</f>
        <v>379.49646488731116</v>
      </c>
      <c r="K763" s="195">
        <f>J763*M523</f>
        <v>379.49620986666224</v>
      </c>
      <c r="L763" s="194">
        <f>IF(H763="BF",K763,J763)</f>
        <v>379.49646488731116</v>
      </c>
      <c r="M763" s="67"/>
    </row>
    <row r="764">
      <c r="A764" s="182">
        <f>A684</f>
        <v>101</v>
      </c>
      <c r="B764" s="131" t="str">
        <f>B684</f>
        <v>Negative</v>
      </c>
      <c r="C764" s="195" t="str">
        <f>C444</f>
        <v>BF</v>
      </c>
      <c r="D764" s="131">
        <f>IF(B764="Positive",INPUT!AO30,INPUT!AP30)</f>
        <v>380</v>
      </c>
      <c r="E764" s="131" t="str">
        <f>M444</f>
        <v>BF</v>
      </c>
      <c r="F764" s="131" t="e">
        <f>J684</f>
        <v>#DIV/0!</v>
      </c>
      <c r="G764" s="131" t="e">
        <f>IF(C764="OF",M444,J684)</f>
        <v>#DIV/0!</v>
      </c>
      <c r="H764" s="195" t="str">
        <f>IF(B764="Positive","BF",IF(G364=2,"OF","BF"))</f>
        <v>OF</v>
      </c>
      <c r="I764" s="131">
        <f>IF(B764="Positive",INPUT!AP30,INPUT!AO30)</f>
        <v>380</v>
      </c>
      <c r="J764" s="131">
        <f>I764*N364</f>
        <v>379.49646488731116</v>
      </c>
      <c r="K764" s="195">
        <f>J764*M524</f>
        <v>379.49620986666224</v>
      </c>
      <c r="L764" s="194">
        <f>IF(H764="BF",K764,J764)</f>
        <v>379.49646488731116</v>
      </c>
      <c r="M764" s="67"/>
    </row>
    <row r="765">
      <c r="A765" s="182">
        <f>A685</f>
        <v>101</v>
      </c>
      <c r="B765" s="131" t="str">
        <f>B685</f>
        <v>Negative</v>
      </c>
      <c r="C765" s="195" t="str">
        <f>C445</f>
        <v>BF</v>
      </c>
      <c r="D765" s="131">
        <f>IF(B765="Positive",INPUT!AO31,INPUT!AP31)</f>
        <v>380</v>
      </c>
      <c r="E765" s="131" t="str">
        <f>M445</f>
        <v>BF</v>
      </c>
      <c r="F765" s="131" t="e">
        <f>J685</f>
        <v>#DIV/0!</v>
      </c>
      <c r="G765" s="131" t="e">
        <f>IF(C765="OF",M445,J685)</f>
        <v>#DIV/0!</v>
      </c>
      <c r="H765" s="195" t="str">
        <f>IF(B765="Positive","BF",IF(G365=2,"OF","BF"))</f>
        <v>OF</v>
      </c>
      <c r="I765" s="131">
        <f>IF(B765="Positive",INPUT!AP31,INPUT!AO31)</f>
        <v>380</v>
      </c>
      <c r="J765" s="131">
        <f>I765*N365</f>
        <v>379.49646488731116</v>
      </c>
      <c r="K765" s="195">
        <f>J765*M525</f>
        <v>379.49620986666224</v>
      </c>
      <c r="L765" s="194">
        <f>IF(H765="BF",K765,J765)</f>
        <v>379.49646488731116</v>
      </c>
      <c r="M765" s="67"/>
    </row>
    <row r="766">
      <c r="A766" s="182">
        <f>A686</f>
        <v>101</v>
      </c>
      <c r="B766" s="131" t="str">
        <f>B686</f>
        <v>Negative</v>
      </c>
      <c r="C766" s="195" t="str">
        <f>C446</f>
        <v>BF</v>
      </c>
      <c r="D766" s="131">
        <f>IF(B766="Positive",INPUT!AO32,INPUT!AP32)</f>
        <v>380</v>
      </c>
      <c r="E766" s="131" t="str">
        <f>M446</f>
        <v>BF</v>
      </c>
      <c r="F766" s="131" t="e">
        <f>J686</f>
        <v>#DIV/0!</v>
      </c>
      <c r="G766" s="131" t="e">
        <f>IF(C766="OF",M446,J686)</f>
        <v>#DIV/0!</v>
      </c>
      <c r="H766" s="195" t="str">
        <f>IF(B766="Positive","BF",IF(G366=2,"OF","BF"))</f>
        <v>OF</v>
      </c>
      <c r="I766" s="131">
        <f>IF(B766="Positive",INPUT!AP32,INPUT!AO32)</f>
        <v>380</v>
      </c>
      <c r="J766" s="131">
        <f>I766*N366</f>
        <v>379.49646488731116</v>
      </c>
      <c r="K766" s="195">
        <f>J766*M526</f>
        <v>379.49620986666224</v>
      </c>
      <c r="L766" s="194">
        <f>IF(H766="BF",K766,J766)</f>
        <v>379.49646488731116</v>
      </c>
      <c r="M766" s="67"/>
    </row>
    <row r="767">
      <c r="A767" s="182">
        <f>A687</f>
        <v>101</v>
      </c>
      <c r="B767" s="131" t="str">
        <f>B687</f>
        <v>Negative</v>
      </c>
      <c r="C767" s="195" t="str">
        <f>C447</f>
        <v>BF</v>
      </c>
      <c r="D767" s="131">
        <f>IF(B767="Positive",INPUT!AO33,INPUT!AP33)</f>
        <v>380</v>
      </c>
      <c r="E767" s="131" t="str">
        <f>M447</f>
        <v>BF</v>
      </c>
      <c r="F767" s="131" t="e">
        <f>J687</f>
        <v>#DIV/0!</v>
      </c>
      <c r="G767" s="131" t="e">
        <f>IF(C767="OF",M447,J687)</f>
        <v>#DIV/0!</v>
      </c>
      <c r="H767" s="195" t="str">
        <f>IF(B767="Positive","BF",IF(G367=2,"OF","BF"))</f>
        <v>OF</v>
      </c>
      <c r="I767" s="131">
        <f>IF(B767="Positive",INPUT!AP33,INPUT!AO33)</f>
        <v>380</v>
      </c>
      <c r="J767" s="131">
        <f>I767*N367</f>
        <v>379.49646488731116</v>
      </c>
      <c r="K767" s="195">
        <f>J767*M527</f>
        <v>379.49620986666224</v>
      </c>
      <c r="L767" s="194">
        <f>IF(H767="BF",K767,J767)</f>
        <v>379.49646488731116</v>
      </c>
      <c r="M767" s="67"/>
    </row>
    <row r="768">
      <c r="A768" s="182">
        <f>A688</f>
        <v>101</v>
      </c>
      <c r="B768" s="131" t="str">
        <f>B688</f>
        <v>Negative</v>
      </c>
      <c r="C768" s="195" t="str">
        <f>C448</f>
        <v>BF</v>
      </c>
      <c r="D768" s="131">
        <f>IF(B768="Positive",INPUT!AO34,INPUT!AP34)</f>
        <v>380</v>
      </c>
      <c r="E768" s="131" t="str">
        <f>M448</f>
        <v>BF</v>
      </c>
      <c r="F768" s="131" t="e">
        <f>J688</f>
        <v>#DIV/0!</v>
      </c>
      <c r="G768" s="131" t="e">
        <f>IF(C768="OF",M448,J688)</f>
        <v>#DIV/0!</v>
      </c>
      <c r="H768" s="195" t="str">
        <f>IF(B768="Positive","BF",IF(G368=2,"OF","BF"))</f>
        <v>OF</v>
      </c>
      <c r="I768" s="131">
        <f>IF(B768="Positive",INPUT!AP34,INPUT!AO34)</f>
        <v>380</v>
      </c>
      <c r="J768" s="131">
        <f>I768*N368</f>
        <v>379.49646488731116</v>
      </c>
      <c r="K768" s="195">
        <f>J768*M528</f>
        <v>379.49620986666224</v>
      </c>
      <c r="L768" s="194">
        <f>IF(H768="BF",K768,J768)</f>
        <v>379.49646488731116</v>
      </c>
      <c r="M768" s="67"/>
    </row>
    <row r="769">
      <c r="A769" s="182">
        <f>A689</f>
        <v>101</v>
      </c>
      <c r="B769" s="131" t="str">
        <f>B689</f>
        <v>Negative</v>
      </c>
      <c r="C769" s="195" t="str">
        <f>C449</f>
        <v>BF</v>
      </c>
      <c r="D769" s="131">
        <f>IF(B769="Positive",INPUT!AO35,INPUT!AP35)</f>
        <v>380</v>
      </c>
      <c r="E769" s="131" t="str">
        <f>M449</f>
        <v>BF</v>
      </c>
      <c r="F769" s="131" t="e">
        <f>J689</f>
        <v>#DIV/0!</v>
      </c>
      <c r="G769" s="131" t="e">
        <f>IF(C769="OF",M449,J689)</f>
        <v>#DIV/0!</v>
      </c>
      <c r="H769" s="195" t="str">
        <f>IF(B769="Positive","BF",IF(G369=2,"OF","BF"))</f>
        <v>OF</v>
      </c>
      <c r="I769" s="131">
        <f>IF(B769="Positive",INPUT!AP35,INPUT!AO35)</f>
        <v>380</v>
      </c>
      <c r="J769" s="131">
        <f>I769*N369</f>
        <v>379.49646488731116</v>
      </c>
      <c r="K769" s="195">
        <f>J769*M529</f>
        <v>379.49620986666224</v>
      </c>
      <c r="L769" s="194">
        <f>IF(H769="BF",K769,J769)</f>
        <v>379.49646488731116</v>
      </c>
      <c r="M769" s="67"/>
    </row>
    <row r="770">
      <c r="A770" s="182">
        <f>A690</f>
        <v>101</v>
      </c>
      <c r="B770" s="131" t="str">
        <f>B690</f>
        <v>Negative</v>
      </c>
      <c r="C770" s="195" t="str">
        <f>C450</f>
        <v>BF</v>
      </c>
      <c r="D770" s="131">
        <f>IF(B770="Positive",INPUT!AO36,INPUT!AP36)</f>
        <v>380</v>
      </c>
      <c r="E770" s="131" t="str">
        <f>M450</f>
        <v>BF</v>
      </c>
      <c r="F770" s="131" t="e">
        <f>J690</f>
        <v>#DIV/0!</v>
      </c>
      <c r="G770" s="131" t="e">
        <f>IF(C770="OF",M450,J690)</f>
        <v>#DIV/0!</v>
      </c>
      <c r="H770" s="195" t="str">
        <f>IF(B770="Positive","BF",IF(G370=2,"OF","BF"))</f>
        <v>OF</v>
      </c>
      <c r="I770" s="131">
        <f>IF(B770="Positive",INPUT!AP36,INPUT!AO36)</f>
        <v>380</v>
      </c>
      <c r="J770" s="131">
        <f>I770*N370</f>
        <v>379.49646488731116</v>
      </c>
      <c r="K770" s="195">
        <f>J770*M530</f>
        <v>379.49620986666224</v>
      </c>
      <c r="L770" s="194">
        <f>IF(H770="BF",K770,J770)</f>
        <v>379.49646488731116</v>
      </c>
      <c r="M770" s="67"/>
    </row>
    <row r="771">
      <c r="A771" s="182">
        <f>A691</f>
        <v>101</v>
      </c>
      <c r="B771" s="131" t="str">
        <f>B691</f>
        <v>Negative</v>
      </c>
      <c r="C771" s="195" t="str">
        <f>C451</f>
        <v>BF</v>
      </c>
      <c r="D771" s="131">
        <f>IF(B771="Positive",INPUT!AO37,INPUT!AP37)</f>
        <v>380</v>
      </c>
      <c r="E771" s="131" t="str">
        <f>M451</f>
        <v>BF</v>
      </c>
      <c r="F771" s="131" t="e">
        <f>J691</f>
        <v>#DIV/0!</v>
      </c>
      <c r="G771" s="131" t="e">
        <f>IF(C771="OF",M451,J691)</f>
        <v>#DIV/0!</v>
      </c>
      <c r="H771" s="195" t="str">
        <f>IF(B771="Positive","BF",IF(G371=2,"OF","BF"))</f>
        <v>OF</v>
      </c>
      <c r="I771" s="131">
        <f>IF(B771="Positive",INPUT!AP37,INPUT!AO37)</f>
        <v>380</v>
      </c>
      <c r="J771" s="131">
        <f>I771*N371</f>
        <v>379.49646488731116</v>
      </c>
      <c r="K771" s="195">
        <f>J771*M531</f>
        <v>379.49620986666224</v>
      </c>
      <c r="L771" s="194">
        <f>IF(H771="BF",K771,J771)</f>
        <v>379.49646488731116</v>
      </c>
      <c r="M771" s="67"/>
    </row>
    <row r="772">
      <c r="A772" s="182">
        <f>A692</f>
        <v>101</v>
      </c>
      <c r="B772" s="131" t="str">
        <f>B692</f>
        <v>Negative</v>
      </c>
      <c r="C772" s="195" t="str">
        <f>C452</f>
        <v>BF</v>
      </c>
      <c r="D772" s="131">
        <f>IF(B772="Positive",INPUT!AO38,INPUT!AP38)</f>
        <v>380</v>
      </c>
      <c r="E772" s="131" t="str">
        <f>M452</f>
        <v>BF</v>
      </c>
      <c r="F772" s="131" t="e">
        <f>J692</f>
        <v>#DIV/0!</v>
      </c>
      <c r="G772" s="131" t="e">
        <f>IF(C772="OF",M452,J692)</f>
        <v>#DIV/0!</v>
      </c>
      <c r="H772" s="195" t="str">
        <f>IF(B772="Positive","BF",IF(G372=2,"OF","BF"))</f>
        <v>OF</v>
      </c>
      <c r="I772" s="131">
        <f>IF(B772="Positive",INPUT!AP38,INPUT!AO38)</f>
        <v>380</v>
      </c>
      <c r="J772" s="131">
        <f>I772*N372</f>
        <v>379.49646488731116</v>
      </c>
      <c r="K772" s="195">
        <f>J772*M532</f>
        <v>379.49620986666224</v>
      </c>
      <c r="L772" s="194">
        <f>IF(H772="BF",K772,J772)</f>
        <v>379.49646488731116</v>
      </c>
      <c r="M772" s="67"/>
    </row>
    <row r="773">
      <c r="A773" s="182">
        <f>A693</f>
        <v>101</v>
      </c>
      <c r="B773" s="131" t="str">
        <f>B693</f>
        <v>Negative</v>
      </c>
      <c r="C773" s="195" t="str">
        <f>C453</f>
        <v>BF</v>
      </c>
      <c r="D773" s="131">
        <f>IF(B773="Positive",INPUT!AO39,INPUT!AP39)</f>
        <v>380</v>
      </c>
      <c r="E773" s="131" t="str">
        <f>M453</f>
        <v>BF</v>
      </c>
      <c r="F773" s="131" t="e">
        <f>J693</f>
        <v>#DIV/0!</v>
      </c>
      <c r="G773" s="131" t="e">
        <f>IF(C773="OF",M453,J693)</f>
        <v>#DIV/0!</v>
      </c>
      <c r="H773" s="195" t="str">
        <f>IF(B773="Positive","BF",IF(G373=2,"OF","BF"))</f>
        <v>OF</v>
      </c>
      <c r="I773" s="131">
        <f>IF(B773="Positive",INPUT!AP39,INPUT!AO39)</f>
        <v>380</v>
      </c>
      <c r="J773" s="131">
        <f>I773*N373</f>
        <v>379.49646488731116</v>
      </c>
      <c r="K773" s="195">
        <f>J773*M533</f>
        <v>379.49620986666224</v>
      </c>
      <c r="L773" s="194">
        <f>IF(H773="BF",K773,J773)</f>
        <v>379.49646488731116</v>
      </c>
      <c r="M773" s="67"/>
    </row>
    <row r="774">
      <c r="A774" s="182">
        <f>A694</f>
        <v>101</v>
      </c>
      <c r="B774" s="131" t="str">
        <f>B694</f>
        <v>Negative</v>
      </c>
      <c r="C774" s="195" t="str">
        <f>C454</f>
        <v>BF</v>
      </c>
      <c r="D774" s="131">
        <f>IF(B774="Positive",INPUT!AO40,INPUT!AP40)</f>
        <v>380</v>
      </c>
      <c r="E774" s="131" t="str">
        <f>M454</f>
        <v>BF</v>
      </c>
      <c r="F774" s="131" t="e">
        <f>J694</f>
        <v>#DIV/0!</v>
      </c>
      <c r="G774" s="131" t="e">
        <f>IF(C774="OF",M454,J694)</f>
        <v>#DIV/0!</v>
      </c>
      <c r="H774" s="195" t="str">
        <f>IF(B774="Positive","BF",IF(G374=2,"OF","BF"))</f>
        <v>OF</v>
      </c>
      <c r="I774" s="131">
        <f>IF(B774="Positive",INPUT!AP40,INPUT!AO40)</f>
        <v>380</v>
      </c>
      <c r="J774" s="131">
        <f>I774*N374</f>
        <v>379.49646488731116</v>
      </c>
      <c r="K774" s="195">
        <f>J774*M534</f>
        <v>379.49620986666224</v>
      </c>
      <c r="L774" s="194">
        <f>IF(H774="BF",K774,J774)</f>
        <v>379.49646488731116</v>
      </c>
      <c r="M774" s="67"/>
    </row>
    <row r="775">
      <c r="A775" s="182">
        <f>A695</f>
        <v>101</v>
      </c>
      <c r="B775" s="131" t="str">
        <f>B695</f>
        <v>Negative</v>
      </c>
      <c r="C775" s="195" t="str">
        <f>C455</f>
        <v>BF</v>
      </c>
      <c r="D775" s="131">
        <f>IF(B775="Positive",INPUT!AO41,INPUT!AP41)</f>
        <v>380</v>
      </c>
      <c r="E775" s="131" t="str">
        <f>M455</f>
        <v>BF</v>
      </c>
      <c r="F775" s="131" t="e">
        <f>J695</f>
        <v>#DIV/0!</v>
      </c>
      <c r="G775" s="131" t="e">
        <f>IF(C775="OF",M455,J695)</f>
        <v>#DIV/0!</v>
      </c>
      <c r="H775" s="195" t="str">
        <f>IF(B775="Positive","BF",IF(G375=2,"OF","BF"))</f>
        <v>OF</v>
      </c>
      <c r="I775" s="131">
        <f>IF(B775="Positive",INPUT!AP41,INPUT!AO41)</f>
        <v>380</v>
      </c>
      <c r="J775" s="131">
        <f>I775*N375</f>
        <v>379.49646488731116</v>
      </c>
      <c r="K775" s="195">
        <f>J775*M535</f>
        <v>379.49620986666224</v>
      </c>
      <c r="L775" s="194">
        <f>IF(H775="BF",K775,J775)</f>
        <v>379.49646488731116</v>
      </c>
      <c r="M775" s="67"/>
    </row>
    <row r="776">
      <c r="A776" s="182">
        <f>A696</f>
        <v>101</v>
      </c>
      <c r="B776" s="131" t="str">
        <f>B696</f>
        <v>Negative</v>
      </c>
      <c r="C776" s="195" t="str">
        <f>C456</f>
        <v>BF</v>
      </c>
      <c r="D776" s="131">
        <f>IF(B776="Positive",INPUT!AO42,INPUT!AP42)</f>
        <v>380</v>
      </c>
      <c r="E776" s="131" t="str">
        <f>M456</f>
        <v>BF</v>
      </c>
      <c r="F776" s="131" t="e">
        <f>J696</f>
        <v>#DIV/0!</v>
      </c>
      <c r="G776" s="131" t="e">
        <f>IF(C776="OF",M456,J696)</f>
        <v>#DIV/0!</v>
      </c>
      <c r="H776" s="195" t="str">
        <f>IF(B776="Positive","BF",IF(G376=2,"OF","BF"))</f>
        <v>OF</v>
      </c>
      <c r="I776" s="131">
        <f>IF(B776="Positive",INPUT!AP42,INPUT!AO42)</f>
        <v>380</v>
      </c>
      <c r="J776" s="131">
        <f>I776*N376</f>
        <v>379.49646488731116</v>
      </c>
      <c r="K776" s="195">
        <f>J776*M536</f>
        <v>379.49620986666224</v>
      </c>
      <c r="L776" s="194">
        <f>IF(H776="BF",K776,J776)</f>
        <v>379.49646488731116</v>
      </c>
      <c r="M776" s="67"/>
    </row>
    <row r="777">
      <c r="A777" s="182">
        <f>A697</f>
        <v>101</v>
      </c>
      <c r="B777" s="131" t="str">
        <f>B697</f>
        <v>Negative</v>
      </c>
      <c r="C777" s="195" t="str">
        <f>C457</f>
        <v>BF</v>
      </c>
      <c r="D777" s="131">
        <f>IF(B777="Positive",INPUT!AO43,INPUT!AP43)</f>
        <v>380</v>
      </c>
      <c r="E777" s="131" t="str">
        <f>M457</f>
        <v>BF</v>
      </c>
      <c r="F777" s="131" t="e">
        <f>J697</f>
        <v>#DIV/0!</v>
      </c>
      <c r="G777" s="131" t="e">
        <f>IF(C777="OF",M457,J697)</f>
        <v>#DIV/0!</v>
      </c>
      <c r="H777" s="195" t="str">
        <f>IF(B777="Positive","BF",IF(G377=2,"OF","BF"))</f>
        <v>OF</v>
      </c>
      <c r="I777" s="131">
        <f>IF(B777="Positive",INPUT!AP43,INPUT!AO43)</f>
        <v>380</v>
      </c>
      <c r="J777" s="131">
        <f>I777*N377</f>
        <v>379.49646488731116</v>
      </c>
      <c r="K777" s="195">
        <f>J777*M537</f>
        <v>379.49620986666224</v>
      </c>
      <c r="L777" s="194">
        <f>IF(H777="BF",K777,J777)</f>
        <v>379.49646488731116</v>
      </c>
      <c r="M777" s="67"/>
    </row>
    <row r="778">
      <c r="A778" s="182">
        <f>A698</f>
        <v>101</v>
      </c>
      <c r="B778" s="131" t="str">
        <f>B698</f>
        <v>Negative</v>
      </c>
      <c r="C778" s="195" t="str">
        <f>C458</f>
        <v>BF</v>
      </c>
      <c r="D778" s="131">
        <f>IF(B778="Positive",INPUT!AO44,INPUT!AP44)</f>
        <v>380</v>
      </c>
      <c r="E778" s="131" t="str">
        <f>M458</f>
        <v>BF</v>
      </c>
      <c r="F778" s="131" t="e">
        <f>J698</f>
        <v>#DIV/0!</v>
      </c>
      <c r="G778" s="131" t="e">
        <f>IF(C778="OF",M458,J698)</f>
        <v>#DIV/0!</v>
      </c>
      <c r="H778" s="195" t="str">
        <f>IF(B778="Positive","BF",IF(G378=2,"OF","BF"))</f>
        <v>OF</v>
      </c>
      <c r="I778" s="131">
        <f>IF(B778="Positive",INPUT!AP44,INPUT!AO44)</f>
        <v>380</v>
      </c>
      <c r="J778" s="131">
        <f>I778*N378</f>
        <v>379.49646488731116</v>
      </c>
      <c r="K778" s="195">
        <f>J778*M538</f>
        <v>379.49620986666224</v>
      </c>
      <c r="L778" s="194">
        <f>IF(H778="BF",K778,J778)</f>
        <v>379.49646488731116</v>
      </c>
      <c r="M778" s="67"/>
    </row>
    <row r="779">
      <c r="A779" s="182">
        <f>A699</f>
        <v>101</v>
      </c>
      <c r="B779" s="131" t="str">
        <f>B699</f>
        <v>Negative</v>
      </c>
      <c r="C779" s="195" t="str">
        <f>C459</f>
        <v>BF</v>
      </c>
      <c r="D779" s="131">
        <f>IF(B779="Positive",INPUT!AO45,INPUT!AP45)</f>
        <v>380</v>
      </c>
      <c r="E779" s="131" t="str">
        <f>M459</f>
        <v>BF</v>
      </c>
      <c r="F779" s="131" t="e">
        <f>J699</f>
        <v>#DIV/0!</v>
      </c>
      <c r="G779" s="131" t="e">
        <f>IF(C779="OF",M459,J699)</f>
        <v>#DIV/0!</v>
      </c>
      <c r="H779" s="195" t="str">
        <f>IF(B779="Positive","BF",IF(G379=2,"OF","BF"))</f>
        <v>OF</v>
      </c>
      <c r="I779" s="131">
        <f>IF(B779="Positive",INPUT!AP45,INPUT!AO45)</f>
        <v>380</v>
      </c>
      <c r="J779" s="131">
        <f>I779*N379</f>
        <v>379.49646488731116</v>
      </c>
      <c r="K779" s="195">
        <f>J779*M539</f>
        <v>379.49620986666224</v>
      </c>
      <c r="L779" s="194">
        <f>IF(H779="BF",K779,J779)</f>
        <v>379.49646488731116</v>
      </c>
      <c r="M779" s="67"/>
    </row>
    <row r="780">
      <c r="A780" s="182">
        <f>A700</f>
        <v>101</v>
      </c>
      <c r="B780" s="131" t="str">
        <f>B700</f>
        <v>Negative</v>
      </c>
      <c r="C780" s="195" t="str">
        <f>C460</f>
        <v>BF</v>
      </c>
      <c r="D780" s="131">
        <f>IF(B780="Positive",INPUT!AO46,INPUT!AP46)</f>
        <v>380</v>
      </c>
      <c r="E780" s="131" t="str">
        <f>M460</f>
        <v>BF</v>
      </c>
      <c r="F780" s="131" t="e">
        <f>J700</f>
        <v>#DIV/0!</v>
      </c>
      <c r="G780" s="131" t="e">
        <f>IF(C780="OF",M460,J700)</f>
        <v>#DIV/0!</v>
      </c>
      <c r="H780" s="195" t="str">
        <f>IF(B780="Positive","BF",IF(G380=2,"OF","BF"))</f>
        <v>OF</v>
      </c>
      <c r="I780" s="131">
        <f>IF(B780="Positive",INPUT!AP46,INPUT!AO46)</f>
        <v>380</v>
      </c>
      <c r="J780" s="131">
        <f>I780*N380</f>
        <v>379.49646488731116</v>
      </c>
      <c r="K780" s="195">
        <f>J780*M540</f>
        <v>379.49620986666224</v>
      </c>
      <c r="L780" s="194">
        <f>IF(H780="BF",K780,J780)</f>
        <v>379.49646488731116</v>
      </c>
      <c r="M780" s="67"/>
    </row>
    <row r="781">
      <c r="A781" s="182">
        <f>A701</f>
        <v>101</v>
      </c>
      <c r="B781" s="131" t="str">
        <f>B701</f>
        <v>Negative</v>
      </c>
      <c r="C781" s="195" t="str">
        <f>C461</f>
        <v>BF</v>
      </c>
      <c r="D781" s="131">
        <f>IF(B781="Positive",INPUT!AO47,INPUT!AP47)</f>
        <v>380</v>
      </c>
      <c r="E781" s="131" t="str">
        <f>M461</f>
        <v>BF</v>
      </c>
      <c r="F781" s="131" t="e">
        <f>J701</f>
        <v>#DIV/0!</v>
      </c>
      <c r="G781" s="131" t="e">
        <f>IF(C781="OF",M461,J701)</f>
        <v>#DIV/0!</v>
      </c>
      <c r="H781" s="195" t="str">
        <f>IF(B781="Positive","BF",IF(G381=2,"OF","BF"))</f>
        <v>OF</v>
      </c>
      <c r="I781" s="131">
        <f>IF(B781="Positive",INPUT!AP47,INPUT!AO47)</f>
        <v>380</v>
      </c>
      <c r="J781" s="131">
        <f>I781*N381</f>
        <v>379.49646488731116</v>
      </c>
      <c r="K781" s="195">
        <f>J781*M541</f>
        <v>379.49620986666224</v>
      </c>
      <c r="L781" s="194">
        <f>IF(H781="BF",K781,J781)</f>
        <v>379.49646488731116</v>
      </c>
      <c r="M781" s="67"/>
    </row>
    <row r="782">
      <c r="A782" s="182">
        <f>A702</f>
        <v>101</v>
      </c>
      <c r="B782" s="131" t="str">
        <f>B702</f>
        <v>Negative</v>
      </c>
      <c r="C782" s="195" t="str">
        <f>C462</f>
        <v>BF</v>
      </c>
      <c r="D782" s="131">
        <f>IF(B782="Positive",INPUT!AO48,INPUT!AP48)</f>
        <v>380</v>
      </c>
      <c r="E782" s="131" t="str">
        <f>M462</f>
        <v>BF</v>
      </c>
      <c r="F782" s="131" t="e">
        <f>J702</f>
        <v>#DIV/0!</v>
      </c>
      <c r="G782" s="131" t="e">
        <f>IF(C782="OF",M462,J702)</f>
        <v>#DIV/0!</v>
      </c>
      <c r="H782" s="195" t="str">
        <f>IF(B782="Positive","BF",IF(G382=2,"OF","BF"))</f>
        <v>OF</v>
      </c>
      <c r="I782" s="131">
        <f>IF(B782="Positive",INPUT!AP48,INPUT!AO48)</f>
        <v>380</v>
      </c>
      <c r="J782" s="131">
        <f>I782*N382</f>
        <v>379.49646488731116</v>
      </c>
      <c r="K782" s="195">
        <f>J782*M542</f>
        <v>379.49620986666224</v>
      </c>
      <c r="L782" s="194">
        <f>IF(H782="BF",K782,J782)</f>
        <v>379.49646488731116</v>
      </c>
      <c r="M782" s="67"/>
    </row>
    <row r="783">
      <c r="A783" s="182">
        <f>A703</f>
        <v>101</v>
      </c>
      <c r="B783" s="131" t="str">
        <f>B703</f>
        <v>Negative</v>
      </c>
      <c r="C783" s="195" t="str">
        <f>C463</f>
        <v>BF</v>
      </c>
      <c r="D783" s="131">
        <f>IF(B783="Positive",INPUT!AO49,INPUT!AP49)</f>
        <v>380</v>
      </c>
      <c r="E783" s="131" t="str">
        <f>M463</f>
        <v>BF</v>
      </c>
      <c r="F783" s="131" t="e">
        <f>J703</f>
        <v>#DIV/0!</v>
      </c>
      <c r="G783" s="131" t="e">
        <f>IF(C783="OF",M463,J703)</f>
        <v>#DIV/0!</v>
      </c>
      <c r="H783" s="195" t="str">
        <f>IF(B783="Positive","BF",IF(G383=2,"OF","BF"))</f>
        <v>OF</v>
      </c>
      <c r="I783" s="131">
        <f>IF(B783="Positive",INPUT!AP49,INPUT!AO49)</f>
        <v>380</v>
      </c>
      <c r="J783" s="131">
        <f>I783*N383</f>
        <v>379.49646488731116</v>
      </c>
      <c r="K783" s="195">
        <f>J783*M543</f>
        <v>379.49620986666224</v>
      </c>
      <c r="L783" s="194">
        <f>IF(H783="BF",K783,J783)</f>
        <v>379.49646488731116</v>
      </c>
      <c r="M783" s="67"/>
    </row>
    <row r="784">
      <c r="A784" s="182">
        <f>A704</f>
        <v>101</v>
      </c>
      <c r="B784" s="131" t="str">
        <f>B704</f>
        <v>Negative</v>
      </c>
      <c r="C784" s="195" t="str">
        <f>C464</f>
        <v>BF</v>
      </c>
      <c r="D784" s="131">
        <f>IF(B784="Positive",INPUT!AO50,INPUT!AP50)</f>
        <v>380</v>
      </c>
      <c r="E784" s="131" t="str">
        <f>M464</f>
        <v>BF</v>
      </c>
      <c r="F784" s="131" t="e">
        <f>J704</f>
        <v>#DIV/0!</v>
      </c>
      <c r="G784" s="131" t="e">
        <f>IF(C784="OF",M464,J704)</f>
        <v>#DIV/0!</v>
      </c>
      <c r="H784" s="195" t="str">
        <f>IF(B784="Positive","BF",IF(G384=2,"OF","BF"))</f>
        <v>OF</v>
      </c>
      <c r="I784" s="131">
        <f>IF(B784="Positive",INPUT!AP50,INPUT!AO50)</f>
        <v>380</v>
      </c>
      <c r="J784" s="131">
        <f>I784*N384</f>
        <v>379.49646488731116</v>
      </c>
      <c r="K784" s="195">
        <f>J784*M544</f>
        <v>379.49620986666224</v>
      </c>
      <c r="L784" s="194">
        <f>IF(H784="BF",K784,J784)</f>
        <v>379.49646488731116</v>
      </c>
      <c r="M784" s="67"/>
    </row>
    <row r="785">
      <c r="A785" s="182">
        <f>A705</f>
        <v>101</v>
      </c>
      <c r="B785" s="131" t="str">
        <f>B705</f>
        <v>Negative</v>
      </c>
      <c r="C785" s="195" t="str">
        <f>C465</f>
        <v>BF</v>
      </c>
      <c r="D785" s="131">
        <f>IF(B785="Positive",INPUT!AO51,INPUT!AP51)</f>
        <v>380</v>
      </c>
      <c r="E785" s="131" t="str">
        <f>M465</f>
        <v>BF</v>
      </c>
      <c r="F785" s="131" t="e">
        <f>J705</f>
        <v>#DIV/0!</v>
      </c>
      <c r="G785" s="131" t="e">
        <f>IF(C785="OF",M465,J705)</f>
        <v>#DIV/0!</v>
      </c>
      <c r="H785" s="195" t="str">
        <f>IF(B785="Positive","BF",IF(G385=2,"OF","BF"))</f>
        <v>OF</v>
      </c>
      <c r="I785" s="131">
        <f>IF(B785="Positive",INPUT!AP51,INPUT!AO51)</f>
        <v>380</v>
      </c>
      <c r="J785" s="131">
        <f>I785*N385</f>
        <v>379.49646488731116</v>
      </c>
      <c r="K785" s="195">
        <f>J785*M545</f>
        <v>379.49620986666224</v>
      </c>
      <c r="L785" s="194">
        <f>IF(H785="BF",K785,J785)</f>
        <v>379.49646488731116</v>
      </c>
      <c r="M785" s="67"/>
    </row>
    <row r="786">
      <c r="A786" s="182">
        <f>A706</f>
        <v>101</v>
      </c>
      <c r="B786" s="131" t="str">
        <f>B706</f>
        <v>Negative</v>
      </c>
      <c r="C786" s="195" t="str">
        <f>C466</f>
        <v>BF</v>
      </c>
      <c r="D786" s="131">
        <f>IF(B786="Positive",INPUT!AO52,INPUT!AP52)</f>
        <v>380</v>
      </c>
      <c r="E786" s="131" t="str">
        <f>M466</f>
        <v>BF</v>
      </c>
      <c r="F786" s="131" t="e">
        <f>J706</f>
        <v>#DIV/0!</v>
      </c>
      <c r="G786" s="131" t="e">
        <f>IF(C786="OF",M466,J706)</f>
        <v>#DIV/0!</v>
      </c>
      <c r="H786" s="195" t="str">
        <f>IF(B786="Positive","BF",IF(G386=2,"OF","BF"))</f>
        <v>OF</v>
      </c>
      <c r="I786" s="131">
        <f>IF(B786="Positive",INPUT!AP52,INPUT!AO52)</f>
        <v>380</v>
      </c>
      <c r="J786" s="131">
        <f>I786*N386</f>
        <v>379.49646488731116</v>
      </c>
      <c r="K786" s="195">
        <f>J786*M546</f>
        <v>379.49620986666224</v>
      </c>
      <c r="L786" s="194">
        <f>IF(H786="BF",K786,J786)</f>
        <v>379.49646488731116</v>
      </c>
      <c r="M786" s="67"/>
    </row>
    <row r="787">
      <c r="A787" s="182">
        <f>A707</f>
        <v>101</v>
      </c>
      <c r="B787" s="131" t="str">
        <f>B707</f>
        <v>Negative</v>
      </c>
      <c r="C787" s="195" t="str">
        <f>C467</f>
        <v>BF</v>
      </c>
      <c r="D787" s="131">
        <f>IF(B787="Positive",INPUT!AO53,INPUT!AP53)</f>
        <v>380</v>
      </c>
      <c r="E787" s="131" t="str">
        <f>M467</f>
        <v>BF</v>
      </c>
      <c r="F787" s="131" t="e">
        <f>J707</f>
        <v>#DIV/0!</v>
      </c>
      <c r="G787" s="131" t="e">
        <f>IF(C787="OF",M467,J707)</f>
        <v>#DIV/0!</v>
      </c>
      <c r="H787" s="195" t="str">
        <f>IF(B787="Positive","BF",IF(G387=2,"OF","BF"))</f>
        <v>OF</v>
      </c>
      <c r="I787" s="131">
        <f>IF(B787="Positive",INPUT!AP53,INPUT!AO53)</f>
        <v>380</v>
      </c>
      <c r="J787" s="131">
        <f>I787*N387</f>
        <v>379.49646488731116</v>
      </c>
      <c r="K787" s="195">
        <f>J787*M547</f>
        <v>379.49620986666224</v>
      </c>
      <c r="L787" s="194">
        <f>IF(H787="BF",K787,J787)</f>
        <v>379.49646488731116</v>
      </c>
      <c r="M787" s="67"/>
    </row>
    <row r="788">
      <c r="A788" s="182">
        <f>A708</f>
        <v>101</v>
      </c>
      <c r="B788" s="131" t="str">
        <f>B708</f>
        <v>Negative</v>
      </c>
      <c r="C788" s="195" t="str">
        <f>C468</f>
        <v>BF</v>
      </c>
      <c r="D788" s="131">
        <f>IF(B788="Positive",INPUT!AO54,INPUT!AP54)</f>
        <v>380</v>
      </c>
      <c r="E788" s="131" t="str">
        <f>M468</f>
        <v>BF</v>
      </c>
      <c r="F788" s="131" t="e">
        <f>J708</f>
        <v>#DIV/0!</v>
      </c>
      <c r="G788" s="131" t="e">
        <f>IF(C788="OF",M468,J708)</f>
        <v>#DIV/0!</v>
      </c>
      <c r="H788" s="195" t="str">
        <f>IF(B788="Positive","BF",IF(G388=2,"OF","BF"))</f>
        <v>OF</v>
      </c>
      <c r="I788" s="131">
        <f>IF(B788="Positive",INPUT!AP54,INPUT!AO54)</f>
        <v>380</v>
      </c>
      <c r="J788" s="131">
        <f>I788*N388</f>
        <v>379.49646488731116</v>
      </c>
      <c r="K788" s="195">
        <f>J788*M548</f>
        <v>379.49620986666224</v>
      </c>
      <c r="L788" s="194">
        <f>IF(H788="BF",K788,J788)</f>
        <v>379.49646488731116</v>
      </c>
      <c r="M788" s="67"/>
    </row>
    <row r="789">
      <c r="A789" s="182">
        <f>A709</f>
        <v>101</v>
      </c>
      <c r="B789" s="131" t="str">
        <f>B709</f>
        <v>Negative</v>
      </c>
      <c r="C789" s="195" t="str">
        <f>C469</f>
        <v>BF</v>
      </c>
      <c r="D789" s="131">
        <f>IF(B789="Positive",INPUT!AO55,INPUT!AP55)</f>
        <v>380</v>
      </c>
      <c r="E789" s="131" t="str">
        <f>M469</f>
        <v>BF</v>
      </c>
      <c r="F789" s="131" t="e">
        <f>J709</f>
        <v>#DIV/0!</v>
      </c>
      <c r="G789" s="131" t="e">
        <f>IF(C789="OF",M469,J709)</f>
        <v>#DIV/0!</v>
      </c>
      <c r="H789" s="195" t="str">
        <f>IF(B789="Positive","BF",IF(G389=2,"OF","BF"))</f>
        <v>OF</v>
      </c>
      <c r="I789" s="131">
        <f>IF(B789="Positive",INPUT!AP55,INPUT!AO55)</f>
        <v>380</v>
      </c>
      <c r="J789" s="131">
        <f>I789*N389</f>
        <v>379.49646488731116</v>
      </c>
      <c r="K789" s="195">
        <f>J789*M549</f>
        <v>379.49620986666224</v>
      </c>
      <c r="L789" s="194">
        <f>IF(H789="BF",K789,J789)</f>
        <v>379.49646488731116</v>
      </c>
      <c r="M789" s="67"/>
    </row>
    <row r="790">
      <c r="A790" s="182">
        <f>A710</f>
        <v>101</v>
      </c>
      <c r="B790" s="131" t="str">
        <f>B710</f>
        <v>Negative</v>
      </c>
      <c r="C790" s="195" t="str">
        <f>C470</f>
        <v>BF</v>
      </c>
      <c r="D790" s="131">
        <f>IF(B790="Positive",INPUT!AO56,INPUT!AP56)</f>
        <v>380</v>
      </c>
      <c r="E790" s="131" t="str">
        <f>M470</f>
        <v>BF</v>
      </c>
      <c r="F790" s="131" t="e">
        <f>J710</f>
        <v>#DIV/0!</v>
      </c>
      <c r="G790" s="131" t="e">
        <f>IF(C790="OF",M470,J710)</f>
        <v>#DIV/0!</v>
      </c>
      <c r="H790" s="195" t="str">
        <f>IF(B790="Positive","BF",IF(G390=2,"OF","BF"))</f>
        <v>OF</v>
      </c>
      <c r="I790" s="131">
        <f>IF(B790="Positive",INPUT!AP56,INPUT!AO56)</f>
        <v>380</v>
      </c>
      <c r="J790" s="131">
        <f>I790*N390</f>
        <v>379.49646488731116</v>
      </c>
      <c r="K790" s="195">
        <f>J790*M550</f>
        <v>379.49620986666224</v>
      </c>
      <c r="L790" s="194">
        <f>IF(H790="BF",K790,J790)</f>
        <v>379.49646488731116</v>
      </c>
      <c r="M790" s="67"/>
    </row>
    <row r="791">
      <c r="A791" s="182">
        <f>A711</f>
        <v>101</v>
      </c>
      <c r="B791" s="131" t="str">
        <f>B711</f>
        <v>Negative</v>
      </c>
      <c r="C791" s="195" t="str">
        <f>C471</f>
        <v>BF</v>
      </c>
      <c r="D791" s="131">
        <f>IF(B791="Positive",INPUT!AO57,INPUT!AP57)</f>
        <v>380</v>
      </c>
      <c r="E791" s="131" t="str">
        <f>M471</f>
        <v>BF</v>
      </c>
      <c r="F791" s="131" t="e">
        <f>J711</f>
        <v>#DIV/0!</v>
      </c>
      <c r="G791" s="131" t="e">
        <f>IF(C791="OF",M471,J711)</f>
        <v>#DIV/0!</v>
      </c>
      <c r="H791" s="195" t="str">
        <f>IF(B791="Positive","BF",IF(G391=2,"OF","BF"))</f>
        <v>OF</v>
      </c>
      <c r="I791" s="131">
        <f>IF(B791="Positive",INPUT!AP57,INPUT!AO57)</f>
        <v>380</v>
      </c>
      <c r="J791" s="131">
        <f>I791*N391</f>
        <v>379.49646488731116</v>
      </c>
      <c r="K791" s="195">
        <f>J791*M551</f>
        <v>379.49620986666224</v>
      </c>
      <c r="L791" s="194">
        <f>IF(H791="BF",K791,J791)</f>
        <v>379.49646488731116</v>
      </c>
      <c r="M791" s="67"/>
    </row>
    <row r="792">
      <c r="A792" s="182">
        <f>A712</f>
        <v>101</v>
      </c>
      <c r="B792" s="131" t="str">
        <f>B712</f>
        <v>Negative</v>
      </c>
      <c r="C792" s="195" t="str">
        <f>C472</f>
        <v>BF</v>
      </c>
      <c r="D792" s="131">
        <f>IF(B792="Positive",INPUT!AO58,INPUT!AP58)</f>
        <v>380</v>
      </c>
      <c r="E792" s="131" t="str">
        <f>M472</f>
        <v>BF</v>
      </c>
      <c r="F792" s="131" t="e">
        <f>J712</f>
        <v>#DIV/0!</v>
      </c>
      <c r="G792" s="131" t="e">
        <f>IF(C792="OF",M472,J712)</f>
        <v>#DIV/0!</v>
      </c>
      <c r="H792" s="195" t="str">
        <f>IF(B792="Positive","BF",IF(G392=2,"OF","BF"))</f>
        <v>OF</v>
      </c>
      <c r="I792" s="131">
        <f>IF(B792="Positive",INPUT!AP58,INPUT!AO58)</f>
        <v>380</v>
      </c>
      <c r="J792" s="131">
        <f>I792*N392</f>
        <v>379.49646488731116</v>
      </c>
      <c r="K792" s="195">
        <f>J792*M552</f>
        <v>379.49620986666224</v>
      </c>
      <c r="L792" s="194">
        <f>IF(H792="BF",K792,J792)</f>
        <v>379.49646488731116</v>
      </c>
      <c r="M792" s="67"/>
    </row>
    <row r="793">
      <c r="A793" s="182">
        <f>A713</f>
        <v>101</v>
      </c>
      <c r="B793" s="131" t="str">
        <f>B713</f>
        <v>Negative</v>
      </c>
      <c r="C793" s="195" t="str">
        <f>C473</f>
        <v>BF</v>
      </c>
      <c r="D793" s="131">
        <f>IF(B793="Positive",INPUT!AO59,INPUT!AP59)</f>
        <v>380</v>
      </c>
      <c r="E793" s="131" t="str">
        <f>M473</f>
        <v>BF</v>
      </c>
      <c r="F793" s="131" t="e">
        <f>J713</f>
        <v>#DIV/0!</v>
      </c>
      <c r="G793" s="131" t="e">
        <f>IF(C793="OF",M473,J713)</f>
        <v>#DIV/0!</v>
      </c>
      <c r="H793" s="195" t="str">
        <f>IF(B793="Positive","BF",IF(G393=2,"OF","BF"))</f>
        <v>OF</v>
      </c>
      <c r="I793" s="131">
        <f>IF(B793="Positive",INPUT!AP59,INPUT!AO59)</f>
        <v>380</v>
      </c>
      <c r="J793" s="131">
        <f>I793*N393</f>
        <v>379.49646488731116</v>
      </c>
      <c r="K793" s="195">
        <f>J793*M553</f>
        <v>379.49620986666224</v>
      </c>
      <c r="L793" s="194">
        <f>IF(H793="BF",K793,J793)</f>
        <v>379.49646488731116</v>
      </c>
      <c r="M793" s="67"/>
    </row>
    <row r="794">
      <c r="A794" s="182">
        <f>A714</f>
        <v>101</v>
      </c>
      <c r="B794" s="131" t="str">
        <f>B714</f>
        <v>Negative</v>
      </c>
      <c r="C794" s="195" t="str">
        <f>C474</f>
        <v>BF</v>
      </c>
      <c r="D794" s="131">
        <f>IF(B794="Positive",INPUT!AO60,INPUT!AP60)</f>
        <v>380</v>
      </c>
      <c r="E794" s="131" t="str">
        <f>M474</f>
        <v>BF</v>
      </c>
      <c r="F794" s="131" t="e">
        <f>J714</f>
        <v>#DIV/0!</v>
      </c>
      <c r="G794" s="131" t="e">
        <f>IF(C794="OF",M474,J714)</f>
        <v>#DIV/0!</v>
      </c>
      <c r="H794" s="195" t="str">
        <f>IF(B794="Positive","BF",IF(G394=2,"OF","BF"))</f>
        <v>OF</v>
      </c>
      <c r="I794" s="131">
        <f>IF(B794="Positive",INPUT!AP60,INPUT!AO60)</f>
        <v>380</v>
      </c>
      <c r="J794" s="131">
        <f>I794*N394</f>
        <v>379.49646488731116</v>
      </c>
      <c r="K794" s="195">
        <f>J794*M554</f>
        <v>379.49620986666224</v>
      </c>
      <c r="L794" s="194">
        <f>IF(H794="BF",K794,J794)</f>
        <v>379.49646488731116</v>
      </c>
      <c r="M794" s="67"/>
    </row>
    <row r="795">
      <c r="A795" s="182">
        <f>A715</f>
        <v>101</v>
      </c>
      <c r="B795" s="131" t="str">
        <f>B715</f>
        <v>Negative</v>
      </c>
      <c r="C795" s="195" t="str">
        <f>C475</f>
        <v>BF</v>
      </c>
      <c r="D795" s="131">
        <f>IF(B795="Positive",INPUT!AO61,INPUT!AP61)</f>
        <v>380</v>
      </c>
      <c r="E795" s="131" t="str">
        <f>M475</f>
        <v>BF</v>
      </c>
      <c r="F795" s="131" t="e">
        <f>J715</f>
        <v>#DIV/0!</v>
      </c>
      <c r="G795" s="131" t="e">
        <f>IF(C795="OF",M475,J715)</f>
        <v>#DIV/0!</v>
      </c>
      <c r="H795" s="195" t="str">
        <f>IF(B795="Positive","BF",IF(G395=2,"OF","BF"))</f>
        <v>OF</v>
      </c>
      <c r="I795" s="131">
        <f>IF(B795="Positive",INPUT!AP61,INPUT!AO61)</f>
        <v>380</v>
      </c>
      <c r="J795" s="131">
        <f>I795*N395</f>
        <v>379.49646488731116</v>
      </c>
      <c r="K795" s="195">
        <f>J795*M555</f>
        <v>379.49620986666224</v>
      </c>
      <c r="L795" s="194">
        <f>IF(H795="BF",K795,J795)</f>
        <v>379.49646488731116</v>
      </c>
      <c r="M795" s="67"/>
    </row>
    <row r="796">
      <c r="A796" s="182">
        <f>A716</f>
        <v>101</v>
      </c>
      <c r="B796" s="131" t="str">
        <f>B716</f>
        <v>Negative</v>
      </c>
      <c r="C796" s="195" t="str">
        <f>C476</f>
        <v>BF</v>
      </c>
      <c r="D796" s="131">
        <f>IF(B796="Positive",INPUT!AO62,INPUT!AP62)</f>
        <v>380</v>
      </c>
      <c r="E796" s="131" t="str">
        <f>M476</f>
        <v>BF</v>
      </c>
      <c r="F796" s="131" t="e">
        <f>J716</f>
        <v>#DIV/0!</v>
      </c>
      <c r="G796" s="131" t="e">
        <f>IF(C796="OF",M476,J716)</f>
        <v>#DIV/0!</v>
      </c>
      <c r="H796" s="195" t="str">
        <f>IF(B796="Positive","BF",IF(G396=2,"OF","BF"))</f>
        <v>OF</v>
      </c>
      <c r="I796" s="131">
        <f>IF(B796="Positive",INPUT!AP62,INPUT!AO62)</f>
        <v>380</v>
      </c>
      <c r="J796" s="131">
        <f>I796*N396</f>
        <v>379.49646488731116</v>
      </c>
      <c r="K796" s="195">
        <f>J796*M556</f>
        <v>379.49620986666224</v>
      </c>
      <c r="L796" s="194">
        <f>IF(H796="BF",K796,J796)</f>
        <v>379.49646488731116</v>
      </c>
      <c r="M796" s="67"/>
    </row>
    <row r="797">
      <c r="A797" s="182">
        <f>A717</f>
        <v>101</v>
      </c>
      <c r="B797" s="131" t="str">
        <f>B717</f>
        <v>Negative</v>
      </c>
      <c r="C797" s="195" t="str">
        <f>C477</f>
        <v>BF</v>
      </c>
      <c r="D797" s="131">
        <f>IF(B797="Positive",INPUT!AO63,INPUT!AP63)</f>
        <v>380</v>
      </c>
      <c r="E797" s="131" t="str">
        <f>M477</f>
        <v>BF</v>
      </c>
      <c r="F797" s="131" t="e">
        <f>J717</f>
        <v>#DIV/0!</v>
      </c>
      <c r="G797" s="131" t="e">
        <f>IF(C797="OF",M477,J717)</f>
        <v>#DIV/0!</v>
      </c>
      <c r="H797" s="195" t="str">
        <f>IF(B797="Positive","BF",IF(G397=2,"OF","BF"))</f>
        <v>OF</v>
      </c>
      <c r="I797" s="131">
        <f>IF(B797="Positive",INPUT!AP63,INPUT!AO63)</f>
        <v>380</v>
      </c>
      <c r="J797" s="131">
        <f>I797*N397</f>
        <v>379.49646488731116</v>
      </c>
      <c r="K797" s="195">
        <f>J797*M557</f>
        <v>379.49620986666224</v>
      </c>
      <c r="L797" s="194">
        <f>IF(H797="BF",K797,J797)</f>
        <v>379.49646488731116</v>
      </c>
      <c r="M797" s="67"/>
    </row>
    <row r="798">
      <c r="A798" s="182">
        <f>A718</f>
        <v>101</v>
      </c>
      <c r="B798" s="131" t="str">
        <f>B718</f>
        <v>Negative</v>
      </c>
      <c r="C798" s="195" t="str">
        <f>C478</f>
        <v>BF</v>
      </c>
      <c r="D798" s="131">
        <f>IF(B798="Positive",INPUT!AO64,INPUT!AP64)</f>
        <v>380</v>
      </c>
      <c r="E798" s="131" t="str">
        <f>M478</f>
        <v>BF</v>
      </c>
      <c r="F798" s="131" t="e">
        <f>J718</f>
        <v>#DIV/0!</v>
      </c>
      <c r="G798" s="131" t="e">
        <f>IF(C798="OF",M478,J718)</f>
        <v>#DIV/0!</v>
      </c>
      <c r="H798" s="195" t="str">
        <f>IF(B798="Positive","BF",IF(G398=2,"OF","BF"))</f>
        <v>OF</v>
      </c>
      <c r="I798" s="131">
        <f>IF(B798="Positive",INPUT!AP64,INPUT!AO64)</f>
        <v>380</v>
      </c>
      <c r="J798" s="131">
        <f>I798*N398</f>
        <v>379.49646488731116</v>
      </c>
      <c r="K798" s="195">
        <f>J798*M558</f>
        <v>379.49620986666224</v>
      </c>
      <c r="L798" s="194">
        <f>IF(H798="BF",K798,J798)</f>
        <v>379.49646488731116</v>
      </c>
      <c r="M798" s="67"/>
    </row>
    <row r="799">
      <c r="A799" s="182">
        <f>A719</f>
        <v>101</v>
      </c>
      <c r="B799" s="131" t="str">
        <f>B719</f>
        <v>Negative</v>
      </c>
      <c r="C799" s="195" t="str">
        <f>C479</f>
        <v>BF</v>
      </c>
      <c r="D799" s="131">
        <f>IF(B799="Positive",INPUT!AO65,INPUT!AP65)</f>
        <v>380</v>
      </c>
      <c r="E799" s="131" t="str">
        <f>M479</f>
        <v>BF</v>
      </c>
      <c r="F799" s="131" t="e">
        <f>J719</f>
        <v>#DIV/0!</v>
      </c>
      <c r="G799" s="131" t="e">
        <f>IF(C799="OF",M479,J719)</f>
        <v>#DIV/0!</v>
      </c>
      <c r="H799" s="195" t="str">
        <f>IF(B799="Positive","BF",IF(G399=2,"OF","BF"))</f>
        <v>OF</v>
      </c>
      <c r="I799" s="131">
        <f>IF(B799="Positive",INPUT!AP65,INPUT!AO65)</f>
        <v>380</v>
      </c>
      <c r="J799" s="131">
        <f>I799*N399</f>
        <v>379.49646488731116</v>
      </c>
      <c r="K799" s="195">
        <f>J799*M559</f>
        <v>379.49620986666224</v>
      </c>
      <c r="L799" s="194">
        <f>IF(H799="BF",K799,J799)</f>
        <v>379.49646488731116</v>
      </c>
      <c r="M799" s="67"/>
    </row>
    <row r="800">
      <c r="A800" s="182">
        <f>A720</f>
        <v>101</v>
      </c>
      <c r="B800" s="131" t="str">
        <f>B720</f>
        <v>Negative</v>
      </c>
      <c r="C800" s="195" t="str">
        <f>C480</f>
        <v>BF</v>
      </c>
      <c r="D800" s="131">
        <f>IF(B800="Positive",INPUT!AO66,INPUT!AP66)</f>
        <v>380</v>
      </c>
      <c r="E800" s="131" t="str">
        <f>M480</f>
        <v>BF</v>
      </c>
      <c r="F800" s="131" t="e">
        <f>J720</f>
        <v>#DIV/0!</v>
      </c>
      <c r="G800" s="131" t="e">
        <f>IF(C800="OF",M480,J720)</f>
        <v>#DIV/0!</v>
      </c>
      <c r="H800" s="195" t="str">
        <f>IF(B800="Positive","BF",IF(G400=2,"OF","BF"))</f>
        <v>OF</v>
      </c>
      <c r="I800" s="131">
        <f>IF(B800="Positive",INPUT!AP66,INPUT!AO66)</f>
        <v>380</v>
      </c>
      <c r="J800" s="131">
        <f>I800*N400</f>
        <v>379.49646488731116</v>
      </c>
      <c r="K800" s="195">
        <f>J800*M560</f>
        <v>379.49620986666224</v>
      </c>
      <c r="L800" s="194">
        <f>IF(H800="BF",K800,J800)</f>
        <v>379.49646488731116</v>
      </c>
      <c r="M800" s="67"/>
    </row>
    <row r="801">
      <c r="A801" s="182">
        <f>A721</f>
        <v>101</v>
      </c>
      <c r="B801" s="131" t="str">
        <f>B721</f>
        <v>Negative</v>
      </c>
      <c r="C801" s="195" t="str">
        <f>C481</f>
        <v>BF</v>
      </c>
      <c r="D801" s="131">
        <f>IF(B801="Positive",INPUT!AO67,INPUT!AP67)</f>
        <v>380</v>
      </c>
      <c r="E801" s="131" t="str">
        <f>M481</f>
        <v>BF</v>
      </c>
      <c r="F801" s="131" t="e">
        <f>J721</f>
        <v>#DIV/0!</v>
      </c>
      <c r="G801" s="131" t="e">
        <f>IF(C801="OF",M481,J721)</f>
        <v>#DIV/0!</v>
      </c>
      <c r="H801" s="195" t="str">
        <f>IF(B801="Positive","BF",IF(G401=2,"OF","BF"))</f>
        <v>OF</v>
      </c>
      <c r="I801" s="131">
        <f>IF(B801="Positive",INPUT!AP67,INPUT!AO67)</f>
        <v>380</v>
      </c>
      <c r="J801" s="131">
        <f>I801*N401</f>
        <v>379.49646488731116</v>
      </c>
      <c r="K801" s="195">
        <f>J801*M561</f>
        <v>379.49620986666224</v>
      </c>
      <c r="L801" s="194">
        <f>IF(H801="BF",K801,J801)</f>
        <v>379.49646488731116</v>
      </c>
      <c r="M801" s="67"/>
    </row>
    <row r="802">
      <c r="A802" s="182">
        <f>A722</f>
        <v>101</v>
      </c>
      <c r="B802" s="131" t="str">
        <f>B722</f>
        <v>Negative</v>
      </c>
      <c r="C802" s="195" t="str">
        <f>C482</f>
        <v>BF</v>
      </c>
      <c r="D802" s="131">
        <f>IF(B802="Positive",INPUT!AO68,INPUT!AP68)</f>
        <v>380</v>
      </c>
      <c r="E802" s="131" t="str">
        <f>M482</f>
        <v>BF</v>
      </c>
      <c r="F802" s="131" t="e">
        <f>J722</f>
        <v>#DIV/0!</v>
      </c>
      <c r="G802" s="131" t="e">
        <f>IF(C802="OF",M482,J722)</f>
        <v>#DIV/0!</v>
      </c>
      <c r="H802" s="195" t="str">
        <f>IF(B802="Positive","BF",IF(G402=2,"OF","BF"))</f>
        <v>OF</v>
      </c>
      <c r="I802" s="131">
        <f>IF(B802="Positive",INPUT!AP68,INPUT!AO68)</f>
        <v>380</v>
      </c>
      <c r="J802" s="131">
        <f>I802*N402</f>
        <v>379.49646488731116</v>
      </c>
      <c r="K802" s="195">
        <f>J802*M562</f>
        <v>379.49620986666224</v>
      </c>
      <c r="L802" s="194">
        <f>IF(H802="BF",K802,J802)</f>
        <v>379.49646488731116</v>
      </c>
      <c r="M802" s="67"/>
    </row>
    <row r="803">
      <c r="A803" s="182">
        <f>A723</f>
        <v>101</v>
      </c>
      <c r="B803" s="131" t="str">
        <f>B723</f>
        <v>Negative</v>
      </c>
      <c r="C803" s="195" t="str">
        <f>C483</f>
        <v>BF</v>
      </c>
      <c r="D803" s="131">
        <f>IF(B803="Positive",INPUT!AO69,INPUT!AP69)</f>
        <v>380</v>
      </c>
      <c r="E803" s="131" t="str">
        <f>M483</f>
        <v>BF</v>
      </c>
      <c r="F803" s="131" t="e">
        <f>J723</f>
        <v>#DIV/0!</v>
      </c>
      <c r="G803" s="131" t="e">
        <f>IF(C803="OF",M483,J723)</f>
        <v>#DIV/0!</v>
      </c>
      <c r="H803" s="195" t="str">
        <f>IF(B803="Positive","BF",IF(G403=2,"OF","BF"))</f>
        <v>OF</v>
      </c>
      <c r="I803" s="131">
        <f>IF(B803="Positive",INPUT!AP69,INPUT!AO69)</f>
        <v>380</v>
      </c>
      <c r="J803" s="131">
        <f>I803*N403</f>
        <v>379.49646488731116</v>
      </c>
      <c r="K803" s="195">
        <f>J803*M563</f>
        <v>379.49620986666224</v>
      </c>
      <c r="L803" s="194">
        <f>IF(H803="BF",K803,J803)</f>
        <v>379.49646488731116</v>
      </c>
      <c r="M803" s="67"/>
    </row>
    <row r="804">
      <c r="A804" s="182">
        <f>A724</f>
        <v>101</v>
      </c>
      <c r="B804" s="131" t="str">
        <f>B724</f>
        <v>Negative</v>
      </c>
      <c r="C804" s="195" t="str">
        <f>C484</f>
        <v>BF</v>
      </c>
      <c r="D804" s="131">
        <f>IF(B804="Positive",INPUT!AO70,INPUT!AP70)</f>
        <v>380</v>
      </c>
      <c r="E804" s="131" t="str">
        <f>M484</f>
        <v>BF</v>
      </c>
      <c r="F804" s="131" t="e">
        <f>J724</f>
        <v>#DIV/0!</v>
      </c>
      <c r="G804" s="131" t="e">
        <f>IF(C804="OF",M484,J724)</f>
        <v>#DIV/0!</v>
      </c>
      <c r="H804" s="195" t="str">
        <f>IF(B804="Positive","BF",IF(G404=2,"OF","BF"))</f>
        <v>OF</v>
      </c>
      <c r="I804" s="131">
        <f>IF(B804="Positive",INPUT!AP70,INPUT!AO70)</f>
        <v>380</v>
      </c>
      <c r="J804" s="131">
        <f>I804*N404</f>
        <v>379.49646488731116</v>
      </c>
      <c r="K804" s="195">
        <f>J804*M564</f>
        <v>379.49620986666224</v>
      </c>
      <c r="L804" s="194">
        <f>IF(H804="BF",K804,J804)</f>
        <v>379.49646488731116</v>
      </c>
      <c r="M804" s="67"/>
    </row>
    <row r="805">
      <c r="A805" s="182">
        <f>A725</f>
        <v>101</v>
      </c>
      <c r="B805" s="131" t="str">
        <f>B725</f>
        <v>Negative</v>
      </c>
      <c r="C805" s="195" t="str">
        <f>C485</f>
        <v>BF</v>
      </c>
      <c r="D805" s="131">
        <f>IF(B805="Positive",INPUT!AO71,INPUT!AP71)</f>
        <v>380</v>
      </c>
      <c r="E805" s="131" t="str">
        <f>M485</f>
        <v>BF</v>
      </c>
      <c r="F805" s="131" t="e">
        <f>J725</f>
        <v>#DIV/0!</v>
      </c>
      <c r="G805" s="131" t="e">
        <f>IF(C805="OF",M485,J725)</f>
        <v>#DIV/0!</v>
      </c>
      <c r="H805" s="195" t="str">
        <f>IF(B805="Positive","BF",IF(G405=2,"OF","BF"))</f>
        <v>OF</v>
      </c>
      <c r="I805" s="131">
        <f>IF(B805="Positive",INPUT!AP71,INPUT!AO71)</f>
        <v>380</v>
      </c>
      <c r="J805" s="131">
        <f>I805*N405</f>
        <v>379.49646488731116</v>
      </c>
      <c r="K805" s="195">
        <f>J805*M565</f>
        <v>379.49620986666224</v>
      </c>
      <c r="L805" s="194">
        <f>IF(H805="BF",K805,J805)</f>
        <v>379.49646488731116</v>
      </c>
      <c r="M805" s="67"/>
    </row>
    <row r="806">
      <c r="A806" s="182">
        <f>A726</f>
        <v>101</v>
      </c>
      <c r="B806" s="131" t="str">
        <f>B726</f>
        <v>Negative</v>
      </c>
      <c r="C806" s="195" t="str">
        <f>C486</f>
        <v>BF</v>
      </c>
      <c r="D806" s="131">
        <f>IF(B806="Positive",INPUT!AO72,INPUT!AP72)</f>
        <v>380</v>
      </c>
      <c r="E806" s="131" t="str">
        <f>M486</f>
        <v>BF</v>
      </c>
      <c r="F806" s="131" t="e">
        <f>J726</f>
        <v>#DIV/0!</v>
      </c>
      <c r="G806" s="131" t="e">
        <f>IF(C806="OF",M486,J726)</f>
        <v>#DIV/0!</v>
      </c>
      <c r="H806" s="195" t="str">
        <f>IF(B806="Positive","BF",IF(G406=2,"OF","BF"))</f>
        <v>OF</v>
      </c>
      <c r="I806" s="131">
        <f>IF(B806="Positive",INPUT!AP72,INPUT!AO72)</f>
        <v>380</v>
      </c>
      <c r="J806" s="131">
        <f>I806*N406</f>
        <v>379.49646488731116</v>
      </c>
      <c r="K806" s="195">
        <f>J806*M566</f>
        <v>379.49620986666224</v>
      </c>
      <c r="L806" s="194">
        <f>IF(H806="BF",K806,J806)</f>
        <v>379.49646488731116</v>
      </c>
      <c r="M806" s="67"/>
    </row>
    <row r="807">
      <c r="A807" s="182">
        <f>A727</f>
        <v>101</v>
      </c>
      <c r="B807" s="131" t="str">
        <f>B727</f>
        <v>Negative</v>
      </c>
      <c r="C807" s="195" t="str">
        <f>C487</f>
        <v>BF</v>
      </c>
      <c r="D807" s="131">
        <f>IF(B807="Positive",INPUT!AO73,INPUT!AP73)</f>
        <v>380</v>
      </c>
      <c r="E807" s="131" t="str">
        <f>M487</f>
        <v>BF</v>
      </c>
      <c r="F807" s="131" t="e">
        <f>J727</f>
        <v>#DIV/0!</v>
      </c>
      <c r="G807" s="131" t="e">
        <f>IF(C807="OF",M487,J727)</f>
        <v>#DIV/0!</v>
      </c>
      <c r="H807" s="195" t="str">
        <f>IF(B807="Positive","BF",IF(G407=2,"OF","BF"))</f>
        <v>OF</v>
      </c>
      <c r="I807" s="131">
        <f>IF(B807="Positive",INPUT!AP73,INPUT!AO73)</f>
        <v>380</v>
      </c>
      <c r="J807" s="131">
        <f>I807*N407</f>
        <v>379.49646488731116</v>
      </c>
      <c r="K807" s="195">
        <f>J807*M567</f>
        <v>379.49620986666224</v>
      </c>
      <c r="L807" s="194">
        <f>IF(H807="BF",K807,J807)</f>
        <v>379.49646488731116</v>
      </c>
      <c r="M807" s="67"/>
    </row>
    <row r="808">
      <c r="A808" s="182">
        <f>A728</f>
        <v>101</v>
      </c>
      <c r="B808" s="131" t="str">
        <f>B728</f>
        <v>Negative</v>
      </c>
      <c r="C808" s="195" t="str">
        <f>C488</f>
        <v>BF</v>
      </c>
      <c r="D808" s="131">
        <f>IF(B808="Positive",INPUT!AO74,INPUT!AP74)</f>
        <v>380</v>
      </c>
      <c r="E808" s="131" t="str">
        <f>M488</f>
        <v>BF</v>
      </c>
      <c r="F808" s="131" t="e">
        <f>J728</f>
        <v>#DIV/0!</v>
      </c>
      <c r="G808" s="131" t="e">
        <f>IF(C808="OF",M488,J728)</f>
        <v>#DIV/0!</v>
      </c>
      <c r="H808" s="195" t="str">
        <f>IF(B808="Positive","BF",IF(G408=2,"OF","BF"))</f>
        <v>OF</v>
      </c>
      <c r="I808" s="131">
        <f>IF(B808="Positive",INPUT!AP74,INPUT!AO74)</f>
        <v>380</v>
      </c>
      <c r="J808" s="131">
        <f>I808*N408</f>
        <v>379.49646488731116</v>
      </c>
      <c r="K808" s="195">
        <f>J808*M568</f>
        <v>379.49620986666224</v>
      </c>
      <c r="L808" s="194">
        <f>IF(H808="BF",K808,J808)</f>
        <v>379.49646488731116</v>
      </c>
      <c r="M808" s="67"/>
    </row>
    <row r="809">
      <c r="A809" s="182">
        <f>A729</f>
        <v>101</v>
      </c>
      <c r="B809" s="131" t="str">
        <f>B729</f>
        <v>Negative</v>
      </c>
      <c r="C809" s="195" t="str">
        <f>C489</f>
        <v>BF</v>
      </c>
      <c r="D809" s="131">
        <f>IF(B809="Positive",INPUT!AO75,INPUT!AP75)</f>
        <v>380</v>
      </c>
      <c r="E809" s="131" t="str">
        <f>M489</f>
        <v>BF</v>
      </c>
      <c r="F809" s="131" t="e">
        <f>J729</f>
        <v>#DIV/0!</v>
      </c>
      <c r="G809" s="131" t="e">
        <f>IF(C809="OF",M489,J729)</f>
        <v>#DIV/0!</v>
      </c>
      <c r="H809" s="195" t="str">
        <f>IF(B809="Positive","BF",IF(G409=2,"OF","BF"))</f>
        <v>OF</v>
      </c>
      <c r="I809" s="131">
        <f>IF(B809="Positive",INPUT!AP75,INPUT!AO75)</f>
        <v>380</v>
      </c>
      <c r="J809" s="131">
        <f>I809*N409</f>
        <v>379.49646488731116</v>
      </c>
      <c r="K809" s="195">
        <f>J809*M569</f>
        <v>379.49620986666224</v>
      </c>
      <c r="L809" s="194">
        <f>IF(H809="BF",K809,J809)</f>
        <v>379.49646488731116</v>
      </c>
      <c r="M809" s="67"/>
    </row>
    <row r="810">
      <c r="A810" s="182">
        <f>A730</f>
        <v>101</v>
      </c>
      <c r="B810" s="131" t="str">
        <f>B730</f>
        <v>Negative</v>
      </c>
      <c r="C810" s="195" t="str">
        <f>C490</f>
        <v>BF</v>
      </c>
      <c r="D810" s="131">
        <f>IF(B810="Positive",INPUT!AO76,INPUT!AP76)</f>
        <v>380</v>
      </c>
      <c r="E810" s="131" t="str">
        <f>M490</f>
        <v>BF</v>
      </c>
      <c r="F810" s="131" t="e">
        <f>J730</f>
        <v>#DIV/0!</v>
      </c>
      <c r="G810" s="131" t="e">
        <f>IF(C810="OF",M490,J730)</f>
        <v>#DIV/0!</v>
      </c>
      <c r="H810" s="195" t="str">
        <f>IF(B810="Positive","BF",IF(G410=2,"OF","BF"))</f>
        <v>OF</v>
      </c>
      <c r="I810" s="131">
        <f>IF(B810="Positive",INPUT!AP76,INPUT!AO76)</f>
        <v>380</v>
      </c>
      <c r="J810" s="131">
        <f>I810*N410</f>
        <v>379.49646488731116</v>
      </c>
      <c r="K810" s="195">
        <f>J810*M570</f>
        <v>379.49620986666224</v>
      </c>
      <c r="L810" s="194">
        <f>IF(H810="BF",K810,J810)</f>
        <v>379.49646488731116</v>
      </c>
      <c r="M810" s="67"/>
    </row>
    <row r="811">
      <c r="A811" s="182">
        <f>A731</f>
        <v>101</v>
      </c>
      <c r="B811" s="131" t="str">
        <f>B731</f>
        <v>Negative</v>
      </c>
      <c r="C811" s="195" t="str">
        <f>C491</f>
        <v>BF</v>
      </c>
      <c r="D811" s="131">
        <f>IF(B811="Positive",INPUT!AO77,INPUT!AP77)</f>
        <v>380</v>
      </c>
      <c r="E811" s="131" t="str">
        <f>M491</f>
        <v>BF</v>
      </c>
      <c r="F811" s="131" t="e">
        <f>J731</f>
        <v>#DIV/0!</v>
      </c>
      <c r="G811" s="131" t="e">
        <f>IF(C811="OF",M491,J731)</f>
        <v>#DIV/0!</v>
      </c>
      <c r="H811" s="195" t="str">
        <f>IF(B811="Positive","BF",IF(G411=2,"OF","BF"))</f>
        <v>OF</v>
      </c>
      <c r="I811" s="131">
        <f>IF(B811="Positive",INPUT!AP77,INPUT!AO77)</f>
        <v>380</v>
      </c>
      <c r="J811" s="131">
        <f>I811*N411</f>
        <v>379.49646488731116</v>
      </c>
      <c r="K811" s="195">
        <f>J811*M571</f>
        <v>379.49620986666224</v>
      </c>
      <c r="L811" s="194">
        <f>IF(H811="BF",K811,J811)</f>
        <v>379.49646488731116</v>
      </c>
      <c r="M811" s="67"/>
    </row>
    <row r="812">
      <c r="A812" s="182">
        <f>A732</f>
        <v>101</v>
      </c>
      <c r="B812" s="131" t="str">
        <f>B732</f>
        <v>Negative</v>
      </c>
      <c r="C812" s="195" t="str">
        <f>C492</f>
        <v>BF</v>
      </c>
      <c r="D812" s="131">
        <f>IF(B812="Positive",INPUT!AO78,INPUT!AP78)</f>
        <v>380</v>
      </c>
      <c r="E812" s="131" t="str">
        <f>M492</f>
        <v>BF</v>
      </c>
      <c r="F812" s="131" t="e">
        <f>J732</f>
        <v>#DIV/0!</v>
      </c>
      <c r="G812" s="131" t="e">
        <f>IF(C812="OF",M492,J732)</f>
        <v>#DIV/0!</v>
      </c>
      <c r="H812" s="195" t="str">
        <f>IF(B812="Positive","BF",IF(G412=2,"OF","BF"))</f>
        <v>OF</v>
      </c>
      <c r="I812" s="131">
        <f>IF(B812="Positive",INPUT!AP78,INPUT!AO78)</f>
        <v>380</v>
      </c>
      <c r="J812" s="131">
        <f>I812*N412</f>
        <v>379.49646488731116</v>
      </c>
      <c r="K812" s="195">
        <f>J812*M572</f>
        <v>379.49620986666224</v>
      </c>
      <c r="L812" s="194">
        <f>IF(H812="BF",K812,J812)</f>
        <v>379.49646488731116</v>
      </c>
      <c r="M812" s="67"/>
    </row>
    <row r="813" ht="15" customHeight="1">
      <c r="M813" s="67"/>
    </row>
    <row r="814" ht="15" customHeight="1">
      <c r="A814" s="5"/>
      <c r="B814" s="40" t="s">
        <v>418</v>
      </c>
      <c r="C814" s="4"/>
      <c r="D814" s="4"/>
      <c r="E814" s="4"/>
      <c r="F814" s="133"/>
      <c r="G814" s="133"/>
      <c r="H814" s="133"/>
      <c r="I814" s="138"/>
      <c r="J814" s="138"/>
      <c r="K814" s="5"/>
      <c r="L814" s="5"/>
      <c r="M814" s="455"/>
      <c r="N814" s="455"/>
      <c r="O814" s="388"/>
    </row>
    <row r="815" ht="20.1" customHeight="1">
      <c r="A815" s="5"/>
      <c r="B815" s="102"/>
      <c r="C815" s="99"/>
      <c r="D815" s="99"/>
      <c r="E815" s="139"/>
      <c r="F815" s="99" t="s">
        <v>419</v>
      </c>
      <c r="G815" s="99"/>
      <c r="H815" s="99"/>
      <c r="I815" s="99"/>
      <c r="J815" s="99" t="s">
        <v>420</v>
      </c>
      <c r="K815" s="99"/>
      <c r="L815" s="100"/>
      <c r="M815" s="455"/>
      <c r="N815" s="455"/>
      <c r="O815" s="388"/>
    </row>
    <row r="816" ht="20.1" customHeight="1">
      <c r="A816" s="40"/>
      <c r="B816" s="499" t="s">
        <v>421</v>
      </c>
      <c r="C816" s="493"/>
      <c r="D816" s="493"/>
      <c r="E816" s="140"/>
      <c r="F816" s="141" t="s">
        <v>422</v>
      </c>
      <c r="G816" s="142"/>
      <c r="H816" s="142"/>
      <c r="I816" s="142"/>
      <c r="J816" s="141" t="s">
        <v>423</v>
      </c>
      <c r="K816" s="142"/>
      <c r="L816" s="143"/>
      <c r="M816" s="64"/>
      <c r="N816" s="64"/>
      <c r="O816" s="296"/>
    </row>
    <row r="817" ht="20.1" customHeight="1">
      <c r="A817" s="40"/>
      <c r="B817" s="500"/>
      <c r="C817" s="501"/>
      <c r="D817" s="501"/>
      <c r="E817" s="144"/>
      <c r="F817" s="94" t="s">
        <v>424</v>
      </c>
      <c r="G817" s="94"/>
      <c r="H817" s="94"/>
      <c r="I817" s="94"/>
      <c r="J817" s="49"/>
      <c r="K817" s="49"/>
      <c r="L817" s="145"/>
      <c r="M817" s="64"/>
      <c r="N817" s="64"/>
      <c r="O817" s="296"/>
    </row>
    <row r="818" ht="20.1" customHeight="1">
      <c r="A818" s="40"/>
      <c r="B818" s="502" t="s">
        <v>425</v>
      </c>
      <c r="C818" s="503"/>
      <c r="D818" s="503"/>
      <c r="E818" s="146"/>
      <c r="F818" s="84" t="s">
        <v>426</v>
      </c>
      <c r="G818" s="147"/>
      <c r="H818" s="147"/>
      <c r="I818" s="35"/>
      <c r="J818" s="84" t="s">
        <v>427</v>
      </c>
      <c r="K818" s="84"/>
      <c r="L818" s="148"/>
      <c r="M818" s="64"/>
      <c r="N818" s="64"/>
      <c r="O818" s="296"/>
    </row>
    <row r="819" ht="15" customHeight="1">
      <c r="A819" s="40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5"/>
      <c r="M819" s="4"/>
      <c r="N819" s="4"/>
      <c r="O819" s="296"/>
    </row>
    <row r="820" ht="15" customHeight="1">
      <c r="A820" s="5"/>
      <c r="B820" s="149" t="s">
        <v>428</v>
      </c>
      <c r="C820" s="4"/>
      <c r="D820" s="4"/>
      <c r="E820" s="4"/>
      <c r="F820" s="133"/>
      <c r="G820" s="133"/>
      <c r="H820" s="133"/>
      <c r="I820" s="138"/>
      <c r="J820" s="138"/>
      <c r="K820" s="5"/>
      <c r="L820" s="5"/>
      <c r="M820" s="133"/>
      <c r="N820" s="133"/>
      <c r="O820" s="388"/>
    </row>
    <row r="821" ht="15" customHeight="1">
      <c r="A821" s="30" t="s">
        <v>429</v>
      </c>
      <c r="C821" s="4"/>
      <c r="D821" s="4"/>
      <c r="E821" s="4"/>
      <c r="F821" s="133"/>
      <c r="G821" s="133"/>
      <c r="H821" s="133"/>
      <c r="I821" s="138"/>
      <c r="J821" s="138"/>
      <c r="K821" s="5"/>
      <c r="L821" s="5"/>
      <c r="M821" s="133"/>
      <c r="N821" s="133"/>
      <c r="O821" s="388"/>
    </row>
    <row r="822" ht="15" customHeight="1">
      <c r="A822" s="5"/>
      <c r="B822" s="40"/>
      <c r="C822" s="4"/>
      <c r="D822" s="4"/>
      <c r="E822" s="4"/>
      <c r="F822" s="133"/>
      <c r="G822" s="133"/>
      <c r="H822" s="133"/>
      <c r="I822" s="138"/>
      <c r="J822" s="138"/>
      <c r="K822" s="5"/>
      <c r="L822" s="5"/>
      <c r="M822" s="133"/>
      <c r="N822" s="133"/>
      <c r="O822" s="388"/>
    </row>
    <row r="823" ht="15" customHeight="1">
      <c r="A823" s="59" t="s">
        <v>430</v>
      </c>
      <c r="B823" s="447"/>
      <c r="C823" s="447"/>
      <c r="D823" s="447"/>
      <c r="E823" s="133"/>
      <c r="F823" s="133"/>
      <c r="G823" s="133"/>
      <c r="H823" s="133"/>
      <c r="I823" s="138"/>
      <c r="J823" s="138"/>
      <c r="K823" s="447"/>
      <c r="L823" s="447"/>
      <c r="M823" s="133"/>
      <c r="N823" s="133"/>
    </row>
    <row r="824" ht="15" customHeight="1">
      <c r="A824" s="72" t="s">
        <v>230</v>
      </c>
      <c r="B824" s="73" t="s">
        <v>431</v>
      </c>
      <c r="C824" s="511" t="s">
        <v>432</v>
      </c>
      <c r="D824" s="511"/>
      <c r="E824" s="511"/>
      <c r="F824" s="511"/>
      <c r="G824" s="511"/>
      <c r="H824" s="511" t="s">
        <v>433</v>
      </c>
      <c r="I824" s="511"/>
      <c r="J824" s="511"/>
      <c r="K824" s="511"/>
      <c r="L824" s="512" t="s">
        <v>434</v>
      </c>
      <c r="M824" s="513"/>
      <c r="N824" s="514"/>
    </row>
    <row r="825" ht="15" customHeight="1">
      <c r="A825" s="75"/>
      <c r="B825" s="150"/>
      <c r="C825" s="76" t="s">
        <v>435</v>
      </c>
      <c r="D825" s="448" t="s">
        <v>436</v>
      </c>
      <c r="E825" s="456" t="s">
        <v>437</v>
      </c>
      <c r="F825" s="150" t="s">
        <v>438</v>
      </c>
      <c r="G825" s="150" t="s">
        <v>246</v>
      </c>
      <c r="H825" s="448" t="s">
        <v>439</v>
      </c>
      <c r="I825" s="456" t="s">
        <v>440</v>
      </c>
      <c r="J825" s="150" t="s">
        <v>246</v>
      </c>
      <c r="K825" s="150" t="s">
        <v>247</v>
      </c>
      <c r="L825" s="448" t="s">
        <v>436</v>
      </c>
      <c r="M825" s="456" t="s">
        <v>441</v>
      </c>
      <c r="N825" s="151" t="s">
        <v>246</v>
      </c>
    </row>
    <row r="826" ht="15" customHeight="1">
      <c r="A826" s="182">
        <f>A737</f>
        <v>101</v>
      </c>
      <c r="B826" s="131">
        <f>INPUT!AR3</f>
        <v>0.60695545900194237</v>
      </c>
      <c r="C826" s="131">
        <f>ABS(K174)</f>
        <v>9.5410629309398463</v>
      </c>
      <c r="D826" s="195" t="str">
        <f>IF(B826&gt;=0,"-",-B826+C826)</f>
        <v>-</v>
      </c>
      <c r="E826" s="195">
        <f>D737*N337</f>
        <v>379.49646488731116</v>
      </c>
      <c r="F826" s="195" t="str">
        <f>INPUT!AZ3</f>
        <v>S</v>
      </c>
      <c r="G826" s="200" t="str">
        <f>IF(OR(AND(F826="S",C826=0),D826="-"),"-",IF(D826&lt;=E826,"OK","NG"))</f>
        <v>-</v>
      </c>
      <c r="H826" s="131" t="str">
        <f>IF(B826&gt;=0,"-",-B826+C826/3)</f>
        <v>-</v>
      </c>
      <c r="I826" s="195" t="e">
        <f>G737</f>
        <v>#DIV/0!</v>
      </c>
      <c r="J826" s="200" t="str">
        <f>IF(H826="-","-",IF(H826&lt;=I826,"OK","NG"))</f>
        <v>-</v>
      </c>
      <c r="K826" s="200" t="str">
        <f>IF(H826="-","-",I826/H826)</f>
        <v>-</v>
      </c>
      <c r="L826" s="131">
        <f>IF(B826&gt;=0,B826+C826,"-")</f>
        <v>10.14801838994179</v>
      </c>
      <c r="M826" s="131">
        <f>L737</f>
        <v>379.49646488731116</v>
      </c>
      <c r="N826" s="457" t="str">
        <f>IF(L826="-","-",IF(L826&lt;=M826,"OK","NG"))</f>
        <v>OK</v>
      </c>
    </row>
    <row r="827">
      <c r="A827" s="182">
        <f>A738</f>
        <v>101</v>
      </c>
      <c r="B827" s="131">
        <f>INPUT!AR4</f>
        <v>0.60695545900194237</v>
      </c>
      <c r="C827" s="131">
        <f>ABS(K175)</f>
        <v>9.5410629309398463</v>
      </c>
      <c r="D827" s="195" t="str">
        <f>IF(B827&gt;=0,"-",-B827+C827)</f>
        <v>-</v>
      </c>
      <c r="E827" s="195">
        <f>D738*N338</f>
        <v>379.49646488731116</v>
      </c>
      <c r="F827" s="195" t="str">
        <f>INPUT!AZ4</f>
        <v>S</v>
      </c>
      <c r="G827" s="200" t="str">
        <f>IF(OR(AND(F827="S",C827=0),D827="-"),"-",IF(D827&lt;=E827,"OK","NG"))</f>
        <v>-</v>
      </c>
      <c r="H827" s="131" t="str">
        <f>IF(B827&gt;=0,"-",-B827+C827/3)</f>
        <v>-</v>
      </c>
      <c r="I827" s="195" t="e">
        <f>G738</f>
        <v>#DIV/0!</v>
      </c>
      <c r="J827" s="200" t="str">
        <f>IF(H827="-","-",IF(H827&lt;=I827,"OK","NG"))</f>
        <v>-</v>
      </c>
      <c r="K827" s="200" t="str">
        <f>IF(H827="-","-",I827/H827)</f>
        <v>-</v>
      </c>
      <c r="L827" s="131">
        <f>IF(B827&gt;=0,B827+C827,"-")</f>
        <v>10.14801838994179</v>
      </c>
      <c r="M827" s="131">
        <f>L738</f>
        <v>379.49646488731116</v>
      </c>
      <c r="N827" s="457" t="str">
        <f>IF(L827="-","-",IF(L827&lt;=M827,"OK","NG"))</f>
        <v>OK</v>
      </c>
    </row>
    <row r="828">
      <c r="A828" s="182">
        <f>A739</f>
        <v>101</v>
      </c>
      <c r="B828" s="131">
        <f>INPUT!AR5</f>
        <v>0.60695545900194237</v>
      </c>
      <c r="C828" s="131">
        <f>ABS(K176)</f>
        <v>9.5410629309398463</v>
      </c>
      <c r="D828" s="195" t="str">
        <f>IF(B828&gt;=0,"-",-B828+C828)</f>
        <v>-</v>
      </c>
      <c r="E828" s="195">
        <f>D739*N339</f>
        <v>379.49646488731116</v>
      </c>
      <c r="F828" s="195" t="str">
        <f>INPUT!AZ5</f>
        <v>S</v>
      </c>
      <c r="G828" s="200" t="str">
        <f>IF(OR(AND(F828="S",C828=0),D828="-"),"-",IF(D828&lt;=E828,"OK","NG"))</f>
        <v>-</v>
      </c>
      <c r="H828" s="131" t="str">
        <f>IF(B828&gt;=0,"-",-B828+C828/3)</f>
        <v>-</v>
      </c>
      <c r="I828" s="195" t="e">
        <f>G739</f>
        <v>#DIV/0!</v>
      </c>
      <c r="J828" s="200" t="str">
        <f>IF(H828="-","-",IF(H828&lt;=I828,"OK","NG"))</f>
        <v>-</v>
      </c>
      <c r="K828" s="200" t="str">
        <f>IF(H828="-","-",I828/H828)</f>
        <v>-</v>
      </c>
      <c r="L828" s="131">
        <f>IF(B828&gt;=0,B828+C828,"-")</f>
        <v>10.14801838994179</v>
      </c>
      <c r="M828" s="131">
        <f>L739</f>
        <v>379.49646488731116</v>
      </c>
      <c r="N828" s="457" t="str">
        <f>IF(L828="-","-",IF(L828&lt;=M828,"OK","NG"))</f>
        <v>OK</v>
      </c>
    </row>
    <row r="829">
      <c r="A829" s="182">
        <f>A740</f>
        <v>101</v>
      </c>
      <c r="B829" s="131">
        <f>INPUT!AR6</f>
        <v>0.60695545900194237</v>
      </c>
      <c r="C829" s="131">
        <f>ABS(K177)</f>
        <v>9.5410629309398463</v>
      </c>
      <c r="D829" s="195" t="str">
        <f>IF(B829&gt;=0,"-",-B829+C829)</f>
        <v>-</v>
      </c>
      <c r="E829" s="195">
        <f>D740*N340</f>
        <v>379.49646488731116</v>
      </c>
      <c r="F829" s="195" t="str">
        <f>INPUT!AZ6</f>
        <v>S</v>
      </c>
      <c r="G829" s="200" t="str">
        <f>IF(OR(AND(F829="S",C829=0),D829="-"),"-",IF(D829&lt;=E829,"OK","NG"))</f>
        <v>-</v>
      </c>
      <c r="H829" s="131" t="str">
        <f>IF(B829&gt;=0,"-",-B829+C829/3)</f>
        <v>-</v>
      </c>
      <c r="I829" s="195" t="e">
        <f>G740</f>
        <v>#DIV/0!</v>
      </c>
      <c r="J829" s="200" t="str">
        <f>IF(H829="-","-",IF(H829&lt;=I829,"OK","NG"))</f>
        <v>-</v>
      </c>
      <c r="K829" s="200" t="str">
        <f>IF(H829="-","-",I829/H829)</f>
        <v>-</v>
      </c>
      <c r="L829" s="131">
        <f>IF(B829&gt;=0,B829+C829,"-")</f>
        <v>10.14801838994179</v>
      </c>
      <c r="M829" s="131">
        <f>L740</f>
        <v>379.49646488731116</v>
      </c>
      <c r="N829" s="457" t="str">
        <f>IF(L829="-","-",IF(L829&lt;=M829,"OK","NG"))</f>
        <v>OK</v>
      </c>
    </row>
    <row r="830">
      <c r="A830" s="182">
        <f>A741</f>
        <v>101</v>
      </c>
      <c r="B830" s="131">
        <f>INPUT!AR7</f>
        <v>0.60695545900194237</v>
      </c>
      <c r="C830" s="131">
        <f>ABS(K178)</f>
        <v>9.5410629309398463</v>
      </c>
      <c r="D830" s="195" t="str">
        <f>IF(B830&gt;=0,"-",-B830+C830)</f>
        <v>-</v>
      </c>
      <c r="E830" s="195">
        <f>D741*N341</f>
        <v>379.49646488731116</v>
      </c>
      <c r="F830" s="195" t="str">
        <f>INPUT!AZ7</f>
        <v>S</v>
      </c>
      <c r="G830" s="200" t="str">
        <f>IF(OR(AND(F830="S",C830=0),D830="-"),"-",IF(D830&lt;=E830,"OK","NG"))</f>
        <v>-</v>
      </c>
      <c r="H830" s="131" t="str">
        <f>IF(B830&gt;=0,"-",-B830+C830/3)</f>
        <v>-</v>
      </c>
      <c r="I830" s="195" t="e">
        <f>G741</f>
        <v>#DIV/0!</v>
      </c>
      <c r="J830" s="200" t="str">
        <f>IF(H830="-","-",IF(H830&lt;=I830,"OK","NG"))</f>
        <v>-</v>
      </c>
      <c r="K830" s="200" t="str">
        <f>IF(H830="-","-",I830/H830)</f>
        <v>-</v>
      </c>
      <c r="L830" s="131">
        <f>IF(B830&gt;=0,B830+C830,"-")</f>
        <v>10.14801838994179</v>
      </c>
      <c r="M830" s="131">
        <f>L741</f>
        <v>379.49646488731116</v>
      </c>
      <c r="N830" s="457" t="str">
        <f>IF(L830="-","-",IF(L830&lt;=M830,"OK","NG"))</f>
        <v>OK</v>
      </c>
    </row>
    <row r="831">
      <c r="A831" s="182">
        <f>A742</f>
        <v>101</v>
      </c>
      <c r="B831" s="131">
        <f>INPUT!AR8</f>
        <v>0.60695545900194237</v>
      </c>
      <c r="C831" s="131">
        <f>ABS(K179)</f>
        <v>9.5410629309398463</v>
      </c>
      <c r="D831" s="195" t="str">
        <f>IF(B831&gt;=0,"-",-B831+C831)</f>
        <v>-</v>
      </c>
      <c r="E831" s="195">
        <f>D742*N342</f>
        <v>379.49646488731116</v>
      </c>
      <c r="F831" s="195" t="str">
        <f>INPUT!AZ8</f>
        <v>S</v>
      </c>
      <c r="G831" s="200" t="str">
        <f>IF(OR(AND(F831="S",C831=0),D831="-"),"-",IF(D831&lt;=E831,"OK","NG"))</f>
        <v>-</v>
      </c>
      <c r="H831" s="131" t="str">
        <f>IF(B831&gt;=0,"-",-B831+C831/3)</f>
        <v>-</v>
      </c>
      <c r="I831" s="195" t="e">
        <f>G742</f>
        <v>#DIV/0!</v>
      </c>
      <c r="J831" s="200" t="str">
        <f>IF(H831="-","-",IF(H831&lt;=I831,"OK","NG"))</f>
        <v>-</v>
      </c>
      <c r="K831" s="200" t="str">
        <f>IF(H831="-","-",I831/H831)</f>
        <v>-</v>
      </c>
      <c r="L831" s="131">
        <f>IF(B831&gt;=0,B831+C831,"-")</f>
        <v>10.14801838994179</v>
      </c>
      <c r="M831" s="131">
        <f>L742</f>
        <v>379.49646488731116</v>
      </c>
      <c r="N831" s="457" t="str">
        <f>IF(L831="-","-",IF(L831&lt;=M831,"OK","NG"))</f>
        <v>OK</v>
      </c>
    </row>
    <row r="832">
      <c r="A832" s="182">
        <f>A743</f>
        <v>101</v>
      </c>
      <c r="B832" s="131">
        <f>INPUT!AR9</f>
        <v>0.60695545900194237</v>
      </c>
      <c r="C832" s="131">
        <f>ABS(K180)</f>
        <v>9.5410629309398463</v>
      </c>
      <c r="D832" s="195" t="str">
        <f>IF(B832&gt;=0,"-",-B832+C832)</f>
        <v>-</v>
      </c>
      <c r="E832" s="195">
        <f>D743*N343</f>
        <v>379.49646488731116</v>
      </c>
      <c r="F832" s="195" t="str">
        <f>INPUT!AZ9</f>
        <v>S</v>
      </c>
      <c r="G832" s="200" t="str">
        <f>IF(OR(AND(F832="S",C832=0),D832="-"),"-",IF(D832&lt;=E832,"OK","NG"))</f>
        <v>-</v>
      </c>
      <c r="H832" s="131" t="str">
        <f>IF(B832&gt;=0,"-",-B832+C832/3)</f>
        <v>-</v>
      </c>
      <c r="I832" s="195" t="e">
        <f>G743</f>
        <v>#DIV/0!</v>
      </c>
      <c r="J832" s="200" t="str">
        <f>IF(H832="-","-",IF(H832&lt;=I832,"OK","NG"))</f>
        <v>-</v>
      </c>
      <c r="K832" s="200" t="str">
        <f>IF(H832="-","-",I832/H832)</f>
        <v>-</v>
      </c>
      <c r="L832" s="131">
        <f>IF(B832&gt;=0,B832+C832,"-")</f>
        <v>10.14801838994179</v>
      </c>
      <c r="M832" s="131">
        <f>L743</f>
        <v>379.49646488731116</v>
      </c>
      <c r="N832" s="457" t="str">
        <f>IF(L832="-","-",IF(L832&lt;=M832,"OK","NG"))</f>
        <v>OK</v>
      </c>
    </row>
    <row r="833">
      <c r="A833" s="182">
        <f>A744</f>
        <v>101</v>
      </c>
      <c r="B833" s="131">
        <f>INPUT!AR10</f>
        <v>0.60695545900194237</v>
      </c>
      <c r="C833" s="131">
        <f>ABS(K181)</f>
        <v>9.5410629309398463</v>
      </c>
      <c r="D833" s="195" t="str">
        <f>IF(B833&gt;=0,"-",-B833+C833)</f>
        <v>-</v>
      </c>
      <c r="E833" s="195">
        <f>D744*N344</f>
        <v>379.49646488731116</v>
      </c>
      <c r="F833" s="195" t="str">
        <f>INPUT!AZ10</f>
        <v>S</v>
      </c>
      <c r="G833" s="200" t="str">
        <f>IF(OR(AND(F833="S",C833=0),D833="-"),"-",IF(D833&lt;=E833,"OK","NG"))</f>
        <v>-</v>
      </c>
      <c r="H833" s="131" t="str">
        <f>IF(B833&gt;=0,"-",-B833+C833/3)</f>
        <v>-</v>
      </c>
      <c r="I833" s="195" t="e">
        <f>G744</f>
        <v>#DIV/0!</v>
      </c>
      <c r="J833" s="200" t="str">
        <f>IF(H833="-","-",IF(H833&lt;=I833,"OK","NG"))</f>
        <v>-</v>
      </c>
      <c r="K833" s="200" t="str">
        <f>IF(H833="-","-",I833/H833)</f>
        <v>-</v>
      </c>
      <c r="L833" s="131">
        <f>IF(B833&gt;=0,B833+C833,"-")</f>
        <v>10.14801838994179</v>
      </c>
      <c r="M833" s="131">
        <f>L744</f>
        <v>379.49646488731116</v>
      </c>
      <c r="N833" s="457" t="str">
        <f>IF(L833="-","-",IF(L833&lt;=M833,"OK","NG"))</f>
        <v>OK</v>
      </c>
    </row>
    <row r="834">
      <c r="A834" s="182">
        <f>A745</f>
        <v>101</v>
      </c>
      <c r="B834" s="131">
        <f>INPUT!AR11</f>
        <v>0.60695545900194237</v>
      </c>
      <c r="C834" s="131">
        <f>ABS(K182)</f>
        <v>9.5410629309398463</v>
      </c>
      <c r="D834" s="195" t="str">
        <f>IF(B834&gt;=0,"-",-B834+C834)</f>
        <v>-</v>
      </c>
      <c r="E834" s="195">
        <f>D745*N345</f>
        <v>379.49646488731116</v>
      </c>
      <c r="F834" s="195" t="str">
        <f>INPUT!AZ11</f>
        <v>S</v>
      </c>
      <c r="G834" s="200" t="str">
        <f>IF(OR(AND(F834="S",C834=0),D834="-"),"-",IF(D834&lt;=E834,"OK","NG"))</f>
        <v>-</v>
      </c>
      <c r="H834" s="131" t="str">
        <f>IF(B834&gt;=0,"-",-B834+C834/3)</f>
        <v>-</v>
      </c>
      <c r="I834" s="195" t="e">
        <f>G745</f>
        <v>#DIV/0!</v>
      </c>
      <c r="J834" s="200" t="str">
        <f>IF(H834="-","-",IF(H834&lt;=I834,"OK","NG"))</f>
        <v>-</v>
      </c>
      <c r="K834" s="200" t="str">
        <f>IF(H834="-","-",I834/H834)</f>
        <v>-</v>
      </c>
      <c r="L834" s="131">
        <f>IF(B834&gt;=0,B834+C834,"-")</f>
        <v>10.14801838994179</v>
      </c>
      <c r="M834" s="131">
        <f>L745</f>
        <v>379.49646488731116</v>
      </c>
      <c r="N834" s="457" t="str">
        <f>IF(L834="-","-",IF(L834&lt;=M834,"OK","NG"))</f>
        <v>OK</v>
      </c>
    </row>
    <row r="835">
      <c r="A835" s="182">
        <f>A746</f>
        <v>101</v>
      </c>
      <c r="B835" s="131">
        <f>INPUT!AR12</f>
        <v>0.60695545900194237</v>
      </c>
      <c r="C835" s="131">
        <f>ABS(K183)</f>
        <v>9.5410629309398463</v>
      </c>
      <c r="D835" s="195" t="str">
        <f>IF(B835&gt;=0,"-",-B835+C835)</f>
        <v>-</v>
      </c>
      <c r="E835" s="195">
        <f>D746*N346</f>
        <v>379.49646488731116</v>
      </c>
      <c r="F835" s="195" t="str">
        <f>INPUT!AZ12</f>
        <v>S</v>
      </c>
      <c r="G835" s="200" t="str">
        <f>IF(OR(AND(F835="S",C835=0),D835="-"),"-",IF(D835&lt;=E835,"OK","NG"))</f>
        <v>-</v>
      </c>
      <c r="H835" s="131" t="str">
        <f>IF(B835&gt;=0,"-",-B835+C835/3)</f>
        <v>-</v>
      </c>
      <c r="I835" s="195" t="e">
        <f>G746</f>
        <v>#DIV/0!</v>
      </c>
      <c r="J835" s="200" t="str">
        <f>IF(H835="-","-",IF(H835&lt;=I835,"OK","NG"))</f>
        <v>-</v>
      </c>
      <c r="K835" s="200" t="str">
        <f>IF(H835="-","-",I835/H835)</f>
        <v>-</v>
      </c>
      <c r="L835" s="131">
        <f>IF(B835&gt;=0,B835+C835,"-")</f>
        <v>10.14801838994179</v>
      </c>
      <c r="M835" s="131">
        <f>L746</f>
        <v>379.49646488731116</v>
      </c>
      <c r="N835" s="457" t="str">
        <f>IF(L835="-","-",IF(L835&lt;=M835,"OK","NG"))</f>
        <v>OK</v>
      </c>
    </row>
    <row r="836">
      <c r="A836" s="182">
        <f>A747</f>
        <v>101</v>
      </c>
      <c r="B836" s="131">
        <f>INPUT!AR13</f>
        <v>0.60695545900194237</v>
      </c>
      <c r="C836" s="131">
        <f>ABS(K184)</f>
        <v>9.5410629309398463</v>
      </c>
      <c r="D836" s="195" t="str">
        <f>IF(B836&gt;=0,"-",-B836+C836)</f>
        <v>-</v>
      </c>
      <c r="E836" s="195">
        <f>D747*N347</f>
        <v>379.49646488731116</v>
      </c>
      <c r="F836" s="195" t="str">
        <f>INPUT!AZ13</f>
        <v>S</v>
      </c>
      <c r="G836" s="200" t="str">
        <f>IF(OR(AND(F836="S",C836=0),D836="-"),"-",IF(D836&lt;=E836,"OK","NG"))</f>
        <v>-</v>
      </c>
      <c r="H836" s="131" t="str">
        <f>IF(B836&gt;=0,"-",-B836+C836/3)</f>
        <v>-</v>
      </c>
      <c r="I836" s="195" t="e">
        <f>G747</f>
        <v>#DIV/0!</v>
      </c>
      <c r="J836" s="200" t="str">
        <f>IF(H836="-","-",IF(H836&lt;=I836,"OK","NG"))</f>
        <v>-</v>
      </c>
      <c r="K836" s="200" t="str">
        <f>IF(H836="-","-",I836/H836)</f>
        <v>-</v>
      </c>
      <c r="L836" s="131">
        <f>IF(B836&gt;=0,B836+C836,"-")</f>
        <v>10.14801838994179</v>
      </c>
      <c r="M836" s="131">
        <f>L747</f>
        <v>379.49646488731116</v>
      </c>
      <c r="N836" s="457" t="str">
        <f>IF(L836="-","-",IF(L836&lt;=M836,"OK","NG"))</f>
        <v>OK</v>
      </c>
    </row>
    <row r="837">
      <c r="A837" s="182">
        <f>A748</f>
        <v>101</v>
      </c>
      <c r="B837" s="131">
        <f>INPUT!AR14</f>
        <v>0.60695545900194237</v>
      </c>
      <c r="C837" s="131">
        <f>ABS(K185)</f>
        <v>9.5410629309398463</v>
      </c>
      <c r="D837" s="195" t="str">
        <f>IF(B837&gt;=0,"-",-B837+C837)</f>
        <v>-</v>
      </c>
      <c r="E837" s="195">
        <f>D748*N348</f>
        <v>379.49646488731116</v>
      </c>
      <c r="F837" s="195" t="str">
        <f>INPUT!AZ14</f>
        <v>S</v>
      </c>
      <c r="G837" s="200" t="str">
        <f>IF(OR(AND(F837="S",C837=0),D837="-"),"-",IF(D837&lt;=E837,"OK","NG"))</f>
        <v>-</v>
      </c>
      <c r="H837" s="131" t="str">
        <f>IF(B837&gt;=0,"-",-B837+C837/3)</f>
        <v>-</v>
      </c>
      <c r="I837" s="195" t="e">
        <f>G748</f>
        <v>#DIV/0!</v>
      </c>
      <c r="J837" s="200" t="str">
        <f>IF(H837="-","-",IF(H837&lt;=I837,"OK","NG"))</f>
        <v>-</v>
      </c>
      <c r="K837" s="200" t="str">
        <f>IF(H837="-","-",I837/H837)</f>
        <v>-</v>
      </c>
      <c r="L837" s="131">
        <f>IF(B837&gt;=0,B837+C837,"-")</f>
        <v>10.14801838994179</v>
      </c>
      <c r="M837" s="131">
        <f>L748</f>
        <v>379.49646488731116</v>
      </c>
      <c r="N837" s="457" t="str">
        <f>IF(L837="-","-",IF(L837&lt;=M837,"OK","NG"))</f>
        <v>OK</v>
      </c>
    </row>
    <row r="838">
      <c r="A838" s="182">
        <f>A749</f>
        <v>101</v>
      </c>
      <c r="B838" s="131">
        <f>INPUT!AR15</f>
        <v>0.60695545900194237</v>
      </c>
      <c r="C838" s="131">
        <f>ABS(K186)</f>
        <v>9.5410629309398463</v>
      </c>
      <c r="D838" s="195" t="str">
        <f>IF(B838&gt;=0,"-",-B838+C838)</f>
        <v>-</v>
      </c>
      <c r="E838" s="195">
        <f>D749*N349</f>
        <v>379.49646488731116</v>
      </c>
      <c r="F838" s="195" t="str">
        <f>INPUT!AZ15</f>
        <v>S</v>
      </c>
      <c r="G838" s="200" t="str">
        <f>IF(OR(AND(F838="S",C838=0),D838="-"),"-",IF(D838&lt;=E838,"OK","NG"))</f>
        <v>-</v>
      </c>
      <c r="H838" s="131" t="str">
        <f>IF(B838&gt;=0,"-",-B838+C838/3)</f>
        <v>-</v>
      </c>
      <c r="I838" s="195" t="e">
        <f>G749</f>
        <v>#DIV/0!</v>
      </c>
      <c r="J838" s="200" t="str">
        <f>IF(H838="-","-",IF(H838&lt;=I838,"OK","NG"))</f>
        <v>-</v>
      </c>
      <c r="K838" s="200" t="str">
        <f>IF(H838="-","-",I838/H838)</f>
        <v>-</v>
      </c>
      <c r="L838" s="131">
        <f>IF(B838&gt;=0,B838+C838,"-")</f>
        <v>10.14801838994179</v>
      </c>
      <c r="M838" s="131">
        <f>L749</f>
        <v>379.49646488731116</v>
      </c>
      <c r="N838" s="457" t="str">
        <f>IF(L838="-","-",IF(L838&lt;=M838,"OK","NG"))</f>
        <v>OK</v>
      </c>
    </row>
    <row r="839">
      <c r="A839" s="182">
        <f>A750</f>
        <v>101</v>
      </c>
      <c r="B839" s="131">
        <f>INPUT!AR16</f>
        <v>0.60695545900194237</v>
      </c>
      <c r="C839" s="131">
        <f>ABS(K187)</f>
        <v>9.5410629309398463</v>
      </c>
      <c r="D839" s="195" t="str">
        <f>IF(B839&gt;=0,"-",-B839+C839)</f>
        <v>-</v>
      </c>
      <c r="E839" s="195">
        <f>D750*N350</f>
        <v>379.49646488731116</v>
      </c>
      <c r="F839" s="195" t="str">
        <f>INPUT!AZ16</f>
        <v>S</v>
      </c>
      <c r="G839" s="200" t="str">
        <f>IF(OR(AND(F839="S",C839=0),D839="-"),"-",IF(D839&lt;=E839,"OK","NG"))</f>
        <v>-</v>
      </c>
      <c r="H839" s="131" t="str">
        <f>IF(B839&gt;=0,"-",-B839+C839/3)</f>
        <v>-</v>
      </c>
      <c r="I839" s="195" t="e">
        <f>G750</f>
        <v>#DIV/0!</v>
      </c>
      <c r="J839" s="200" t="str">
        <f>IF(H839="-","-",IF(H839&lt;=I839,"OK","NG"))</f>
        <v>-</v>
      </c>
      <c r="K839" s="200" t="str">
        <f>IF(H839="-","-",I839/H839)</f>
        <v>-</v>
      </c>
      <c r="L839" s="131">
        <f>IF(B839&gt;=0,B839+C839,"-")</f>
        <v>10.14801838994179</v>
      </c>
      <c r="M839" s="131">
        <f>L750</f>
        <v>379.49646488731116</v>
      </c>
      <c r="N839" s="457" t="str">
        <f>IF(L839="-","-",IF(L839&lt;=M839,"OK","NG"))</f>
        <v>OK</v>
      </c>
    </row>
    <row r="840">
      <c r="A840" s="182">
        <f>A751</f>
        <v>101</v>
      </c>
      <c r="B840" s="131">
        <f>INPUT!AR17</f>
        <v>0.60695545900194237</v>
      </c>
      <c r="C840" s="131">
        <f>ABS(K188)</f>
        <v>9.5410629309398463</v>
      </c>
      <c r="D840" s="195" t="str">
        <f>IF(B840&gt;=0,"-",-B840+C840)</f>
        <v>-</v>
      </c>
      <c r="E840" s="195">
        <f>D751*N351</f>
        <v>379.49646488731116</v>
      </c>
      <c r="F840" s="195" t="str">
        <f>INPUT!AZ17</f>
        <v>S</v>
      </c>
      <c r="G840" s="200" t="str">
        <f>IF(OR(AND(F840="S",C840=0),D840="-"),"-",IF(D840&lt;=E840,"OK","NG"))</f>
        <v>-</v>
      </c>
      <c r="H840" s="131" t="str">
        <f>IF(B840&gt;=0,"-",-B840+C840/3)</f>
        <v>-</v>
      </c>
      <c r="I840" s="195" t="e">
        <f>G751</f>
        <v>#DIV/0!</v>
      </c>
      <c r="J840" s="200" t="str">
        <f>IF(H840="-","-",IF(H840&lt;=I840,"OK","NG"))</f>
        <v>-</v>
      </c>
      <c r="K840" s="200" t="str">
        <f>IF(H840="-","-",I840/H840)</f>
        <v>-</v>
      </c>
      <c r="L840" s="131">
        <f>IF(B840&gt;=0,B840+C840,"-")</f>
        <v>10.14801838994179</v>
      </c>
      <c r="M840" s="131">
        <f>L751</f>
        <v>379.49646488731116</v>
      </c>
      <c r="N840" s="457" t="str">
        <f>IF(L840="-","-",IF(L840&lt;=M840,"OK","NG"))</f>
        <v>OK</v>
      </c>
    </row>
    <row r="841">
      <c r="A841" s="182">
        <f>A752</f>
        <v>101</v>
      </c>
      <c r="B841" s="131">
        <f>INPUT!AR18</f>
        <v>0.60695545900194237</v>
      </c>
      <c r="C841" s="131">
        <f>ABS(K189)</f>
        <v>9.5410629309398463</v>
      </c>
      <c r="D841" s="195" t="str">
        <f>IF(B841&gt;=0,"-",-B841+C841)</f>
        <v>-</v>
      </c>
      <c r="E841" s="195">
        <f>D752*N352</f>
        <v>379.49646488731116</v>
      </c>
      <c r="F841" s="195" t="str">
        <f>INPUT!AZ18</f>
        <v>S</v>
      </c>
      <c r="G841" s="200" t="str">
        <f>IF(OR(AND(F841="S",C841=0),D841="-"),"-",IF(D841&lt;=E841,"OK","NG"))</f>
        <v>-</v>
      </c>
      <c r="H841" s="131" t="str">
        <f>IF(B841&gt;=0,"-",-B841+C841/3)</f>
        <v>-</v>
      </c>
      <c r="I841" s="195" t="e">
        <f>G752</f>
        <v>#DIV/0!</v>
      </c>
      <c r="J841" s="200" t="str">
        <f>IF(H841="-","-",IF(H841&lt;=I841,"OK","NG"))</f>
        <v>-</v>
      </c>
      <c r="K841" s="200" t="str">
        <f>IF(H841="-","-",I841/H841)</f>
        <v>-</v>
      </c>
      <c r="L841" s="131">
        <f>IF(B841&gt;=0,B841+C841,"-")</f>
        <v>10.14801838994179</v>
      </c>
      <c r="M841" s="131">
        <f>L752</f>
        <v>379.49646488731116</v>
      </c>
      <c r="N841" s="457" t="str">
        <f>IF(L841="-","-",IF(L841&lt;=M841,"OK","NG"))</f>
        <v>OK</v>
      </c>
    </row>
    <row r="842">
      <c r="A842" s="182">
        <f>A753</f>
        <v>101</v>
      </c>
      <c r="B842" s="131">
        <f>INPUT!AR19</f>
        <v>0.60695545900194237</v>
      </c>
      <c r="C842" s="131">
        <f>ABS(K190)</f>
        <v>9.5410629309398463</v>
      </c>
      <c r="D842" s="195" t="str">
        <f>IF(B842&gt;=0,"-",-B842+C842)</f>
        <v>-</v>
      </c>
      <c r="E842" s="195">
        <f>D753*N353</f>
        <v>379.49646488731116</v>
      </c>
      <c r="F842" s="195" t="str">
        <f>INPUT!AZ19</f>
        <v>S</v>
      </c>
      <c r="G842" s="200" t="str">
        <f>IF(OR(AND(F842="S",C842=0),D842="-"),"-",IF(D842&lt;=E842,"OK","NG"))</f>
        <v>-</v>
      </c>
      <c r="H842" s="131" t="str">
        <f>IF(B842&gt;=0,"-",-B842+C842/3)</f>
        <v>-</v>
      </c>
      <c r="I842" s="195" t="e">
        <f>G753</f>
        <v>#DIV/0!</v>
      </c>
      <c r="J842" s="200" t="str">
        <f>IF(H842="-","-",IF(H842&lt;=I842,"OK","NG"))</f>
        <v>-</v>
      </c>
      <c r="K842" s="200" t="str">
        <f>IF(H842="-","-",I842/H842)</f>
        <v>-</v>
      </c>
      <c r="L842" s="131">
        <f>IF(B842&gt;=0,B842+C842,"-")</f>
        <v>10.14801838994179</v>
      </c>
      <c r="M842" s="131">
        <f>L753</f>
        <v>379.49646488731116</v>
      </c>
      <c r="N842" s="457" t="str">
        <f>IF(L842="-","-",IF(L842&lt;=M842,"OK","NG"))</f>
        <v>OK</v>
      </c>
    </row>
    <row r="843">
      <c r="A843" s="182">
        <f>A754</f>
        <v>101</v>
      </c>
      <c r="B843" s="131">
        <f>INPUT!AR20</f>
        <v>0.60695545900194237</v>
      </c>
      <c r="C843" s="131">
        <f>ABS(K191)</f>
        <v>9.5410629309398463</v>
      </c>
      <c r="D843" s="195" t="str">
        <f>IF(B843&gt;=0,"-",-B843+C843)</f>
        <v>-</v>
      </c>
      <c r="E843" s="195">
        <f>D754*N354</f>
        <v>379.49646488731116</v>
      </c>
      <c r="F843" s="195" t="str">
        <f>INPUT!AZ20</f>
        <v>S</v>
      </c>
      <c r="G843" s="200" t="str">
        <f>IF(OR(AND(F843="S",C843=0),D843="-"),"-",IF(D843&lt;=E843,"OK","NG"))</f>
        <v>-</v>
      </c>
      <c r="H843" s="131" t="str">
        <f>IF(B843&gt;=0,"-",-B843+C843/3)</f>
        <v>-</v>
      </c>
      <c r="I843" s="195" t="e">
        <f>G754</f>
        <v>#DIV/0!</v>
      </c>
      <c r="J843" s="200" t="str">
        <f>IF(H843="-","-",IF(H843&lt;=I843,"OK","NG"))</f>
        <v>-</v>
      </c>
      <c r="K843" s="200" t="str">
        <f>IF(H843="-","-",I843/H843)</f>
        <v>-</v>
      </c>
      <c r="L843" s="131">
        <f>IF(B843&gt;=0,B843+C843,"-")</f>
        <v>10.14801838994179</v>
      </c>
      <c r="M843" s="131">
        <f>L754</f>
        <v>379.49646488731116</v>
      </c>
      <c r="N843" s="457" t="str">
        <f>IF(L843="-","-",IF(L843&lt;=M843,"OK","NG"))</f>
        <v>OK</v>
      </c>
    </row>
    <row r="844">
      <c r="A844" s="182">
        <f>A755</f>
        <v>101</v>
      </c>
      <c r="B844" s="131">
        <f>INPUT!AR21</f>
        <v>0.60695545900194237</v>
      </c>
      <c r="C844" s="131">
        <f>ABS(K192)</f>
        <v>9.5410629309398463</v>
      </c>
      <c r="D844" s="195" t="str">
        <f>IF(B844&gt;=0,"-",-B844+C844)</f>
        <v>-</v>
      </c>
      <c r="E844" s="195">
        <f>D755*N355</f>
        <v>379.49646488731116</v>
      </c>
      <c r="F844" s="195" t="str">
        <f>INPUT!AZ21</f>
        <v>S</v>
      </c>
      <c r="G844" s="200" t="str">
        <f>IF(OR(AND(F844="S",C844=0),D844="-"),"-",IF(D844&lt;=E844,"OK","NG"))</f>
        <v>-</v>
      </c>
      <c r="H844" s="131" t="str">
        <f>IF(B844&gt;=0,"-",-B844+C844/3)</f>
        <v>-</v>
      </c>
      <c r="I844" s="195" t="e">
        <f>G755</f>
        <v>#DIV/0!</v>
      </c>
      <c r="J844" s="200" t="str">
        <f>IF(H844="-","-",IF(H844&lt;=I844,"OK","NG"))</f>
        <v>-</v>
      </c>
      <c r="K844" s="200" t="str">
        <f>IF(H844="-","-",I844/H844)</f>
        <v>-</v>
      </c>
      <c r="L844" s="131">
        <f>IF(B844&gt;=0,B844+C844,"-")</f>
        <v>10.14801838994179</v>
      </c>
      <c r="M844" s="131">
        <f>L755</f>
        <v>379.49646488731116</v>
      </c>
      <c r="N844" s="457" t="str">
        <f>IF(L844="-","-",IF(L844&lt;=M844,"OK","NG"))</f>
        <v>OK</v>
      </c>
    </row>
    <row r="845">
      <c r="A845" s="182">
        <f>A756</f>
        <v>101</v>
      </c>
      <c r="B845" s="131">
        <f>INPUT!AR22</f>
        <v>0.60695545900194237</v>
      </c>
      <c r="C845" s="131">
        <f>ABS(K193)</f>
        <v>9.5410629309398463</v>
      </c>
      <c r="D845" s="195" t="str">
        <f>IF(B845&gt;=0,"-",-B845+C845)</f>
        <v>-</v>
      </c>
      <c r="E845" s="195">
        <f>D756*N356</f>
        <v>379.49646488731116</v>
      </c>
      <c r="F845" s="195" t="str">
        <f>INPUT!AZ22</f>
        <v>S</v>
      </c>
      <c r="G845" s="200" t="str">
        <f>IF(OR(AND(F845="S",C845=0),D845="-"),"-",IF(D845&lt;=E845,"OK","NG"))</f>
        <v>-</v>
      </c>
      <c r="H845" s="131" t="str">
        <f>IF(B845&gt;=0,"-",-B845+C845/3)</f>
        <v>-</v>
      </c>
      <c r="I845" s="195" t="e">
        <f>G756</f>
        <v>#DIV/0!</v>
      </c>
      <c r="J845" s="200" t="str">
        <f>IF(H845="-","-",IF(H845&lt;=I845,"OK","NG"))</f>
        <v>-</v>
      </c>
      <c r="K845" s="200" t="str">
        <f>IF(H845="-","-",I845/H845)</f>
        <v>-</v>
      </c>
      <c r="L845" s="131">
        <f>IF(B845&gt;=0,B845+C845,"-")</f>
        <v>10.14801838994179</v>
      </c>
      <c r="M845" s="131">
        <f>L756</f>
        <v>379.49646488731116</v>
      </c>
      <c r="N845" s="457" t="str">
        <f>IF(L845="-","-",IF(L845&lt;=M845,"OK","NG"))</f>
        <v>OK</v>
      </c>
    </row>
    <row r="846">
      <c r="A846" s="182">
        <f>A757</f>
        <v>101</v>
      </c>
      <c r="B846" s="131">
        <f>INPUT!AR23</f>
        <v>0.60695545900194237</v>
      </c>
      <c r="C846" s="131">
        <f>ABS(K194)</f>
        <v>9.5410629309398463</v>
      </c>
      <c r="D846" s="195" t="str">
        <f>IF(B846&gt;=0,"-",-B846+C846)</f>
        <v>-</v>
      </c>
      <c r="E846" s="195">
        <f>D757*N357</f>
        <v>379.49646488731116</v>
      </c>
      <c r="F846" s="195" t="str">
        <f>INPUT!AZ23</f>
        <v>S</v>
      </c>
      <c r="G846" s="200" t="str">
        <f>IF(OR(AND(F846="S",C846=0),D846="-"),"-",IF(D846&lt;=E846,"OK","NG"))</f>
        <v>-</v>
      </c>
      <c r="H846" s="131" t="str">
        <f>IF(B846&gt;=0,"-",-B846+C846/3)</f>
        <v>-</v>
      </c>
      <c r="I846" s="195" t="e">
        <f>G757</f>
        <v>#DIV/0!</v>
      </c>
      <c r="J846" s="200" t="str">
        <f>IF(H846="-","-",IF(H846&lt;=I846,"OK","NG"))</f>
        <v>-</v>
      </c>
      <c r="K846" s="200" t="str">
        <f>IF(H846="-","-",I846/H846)</f>
        <v>-</v>
      </c>
      <c r="L846" s="131">
        <f>IF(B846&gt;=0,B846+C846,"-")</f>
        <v>10.14801838994179</v>
      </c>
      <c r="M846" s="131">
        <f>L757</f>
        <v>379.49646488731116</v>
      </c>
      <c r="N846" s="457" t="str">
        <f>IF(L846="-","-",IF(L846&lt;=M846,"OK","NG"))</f>
        <v>OK</v>
      </c>
    </row>
    <row r="847">
      <c r="A847" s="182">
        <f>A758</f>
        <v>101</v>
      </c>
      <c r="B847" s="131">
        <f>INPUT!AR24</f>
        <v>0.60695545900194237</v>
      </c>
      <c r="C847" s="131">
        <f>ABS(K195)</f>
        <v>9.5410629309398463</v>
      </c>
      <c r="D847" s="195" t="str">
        <f>IF(B847&gt;=0,"-",-B847+C847)</f>
        <v>-</v>
      </c>
      <c r="E847" s="195">
        <f>D758*N358</f>
        <v>379.49646488731116</v>
      </c>
      <c r="F847" s="195" t="str">
        <f>INPUT!AZ24</f>
        <v>S</v>
      </c>
      <c r="G847" s="200" t="str">
        <f>IF(OR(AND(F847="S",C847=0),D847="-"),"-",IF(D847&lt;=E847,"OK","NG"))</f>
        <v>-</v>
      </c>
      <c r="H847" s="131" t="str">
        <f>IF(B847&gt;=0,"-",-B847+C847/3)</f>
        <v>-</v>
      </c>
      <c r="I847" s="195" t="e">
        <f>G758</f>
        <v>#DIV/0!</v>
      </c>
      <c r="J847" s="200" t="str">
        <f>IF(H847="-","-",IF(H847&lt;=I847,"OK","NG"))</f>
        <v>-</v>
      </c>
      <c r="K847" s="200" t="str">
        <f>IF(H847="-","-",I847/H847)</f>
        <v>-</v>
      </c>
      <c r="L847" s="131">
        <f>IF(B847&gt;=0,B847+C847,"-")</f>
        <v>10.14801838994179</v>
      </c>
      <c r="M847" s="131">
        <f>L758</f>
        <v>379.49646488731116</v>
      </c>
      <c r="N847" s="457" t="str">
        <f>IF(L847="-","-",IF(L847&lt;=M847,"OK","NG"))</f>
        <v>OK</v>
      </c>
    </row>
    <row r="848">
      <c r="A848" s="182">
        <f>A759</f>
        <v>101</v>
      </c>
      <c r="B848" s="131">
        <f>INPUT!AR25</f>
        <v>0.60695545900194237</v>
      </c>
      <c r="C848" s="131">
        <f>ABS(K196)</f>
        <v>9.5410629309398463</v>
      </c>
      <c r="D848" s="195" t="str">
        <f>IF(B848&gt;=0,"-",-B848+C848)</f>
        <v>-</v>
      </c>
      <c r="E848" s="195">
        <f>D759*N359</f>
        <v>379.49646488731116</v>
      </c>
      <c r="F848" s="195" t="str">
        <f>INPUT!AZ25</f>
        <v>S</v>
      </c>
      <c r="G848" s="200" t="str">
        <f>IF(OR(AND(F848="S",C848=0),D848="-"),"-",IF(D848&lt;=E848,"OK","NG"))</f>
        <v>-</v>
      </c>
      <c r="H848" s="131" t="str">
        <f>IF(B848&gt;=0,"-",-B848+C848/3)</f>
        <v>-</v>
      </c>
      <c r="I848" s="195" t="e">
        <f>G759</f>
        <v>#DIV/0!</v>
      </c>
      <c r="J848" s="200" t="str">
        <f>IF(H848="-","-",IF(H848&lt;=I848,"OK","NG"))</f>
        <v>-</v>
      </c>
      <c r="K848" s="200" t="str">
        <f>IF(H848="-","-",I848/H848)</f>
        <v>-</v>
      </c>
      <c r="L848" s="131">
        <f>IF(B848&gt;=0,B848+C848,"-")</f>
        <v>10.14801838994179</v>
      </c>
      <c r="M848" s="131">
        <f>L759</f>
        <v>379.49646488731116</v>
      </c>
      <c r="N848" s="457" t="str">
        <f>IF(L848="-","-",IF(L848&lt;=M848,"OK","NG"))</f>
        <v>OK</v>
      </c>
    </row>
    <row r="849">
      <c r="A849" s="182">
        <f>A760</f>
        <v>101</v>
      </c>
      <c r="B849" s="131">
        <f>INPUT!AR26</f>
        <v>0.60695545900194237</v>
      </c>
      <c r="C849" s="131">
        <f>ABS(K197)</f>
        <v>9.5410629309398463</v>
      </c>
      <c r="D849" s="195" t="str">
        <f>IF(B849&gt;=0,"-",-B849+C849)</f>
        <v>-</v>
      </c>
      <c r="E849" s="195">
        <f>D760*N360</f>
        <v>379.49646488731116</v>
      </c>
      <c r="F849" s="195" t="str">
        <f>INPUT!AZ26</f>
        <v>S</v>
      </c>
      <c r="G849" s="200" t="str">
        <f>IF(OR(AND(F849="S",C849=0),D849="-"),"-",IF(D849&lt;=E849,"OK","NG"))</f>
        <v>-</v>
      </c>
      <c r="H849" s="131" t="str">
        <f>IF(B849&gt;=0,"-",-B849+C849/3)</f>
        <v>-</v>
      </c>
      <c r="I849" s="195" t="e">
        <f>G760</f>
        <v>#DIV/0!</v>
      </c>
      <c r="J849" s="200" t="str">
        <f>IF(H849="-","-",IF(H849&lt;=I849,"OK","NG"))</f>
        <v>-</v>
      </c>
      <c r="K849" s="200" t="str">
        <f>IF(H849="-","-",I849/H849)</f>
        <v>-</v>
      </c>
      <c r="L849" s="131">
        <f>IF(B849&gt;=0,B849+C849,"-")</f>
        <v>10.14801838994179</v>
      </c>
      <c r="M849" s="131">
        <f>L760</f>
        <v>379.49646488731116</v>
      </c>
      <c r="N849" s="457" t="str">
        <f>IF(L849="-","-",IF(L849&lt;=M849,"OK","NG"))</f>
        <v>OK</v>
      </c>
    </row>
    <row r="850">
      <c r="A850" s="182">
        <f>A761</f>
        <v>101</v>
      </c>
      <c r="B850" s="131">
        <f>INPUT!AR27</f>
        <v>0.60695545900194237</v>
      </c>
      <c r="C850" s="131">
        <f>ABS(K198)</f>
        <v>9.5410629309398463</v>
      </c>
      <c r="D850" s="195" t="str">
        <f>IF(B850&gt;=0,"-",-B850+C850)</f>
        <v>-</v>
      </c>
      <c r="E850" s="195">
        <f>D761*N361</f>
        <v>379.49646488731116</v>
      </c>
      <c r="F850" s="195" t="str">
        <f>INPUT!AZ27</f>
        <v>S</v>
      </c>
      <c r="G850" s="200" t="str">
        <f>IF(OR(AND(F850="S",C850=0),D850="-"),"-",IF(D850&lt;=E850,"OK","NG"))</f>
        <v>-</v>
      </c>
      <c r="H850" s="131" t="str">
        <f>IF(B850&gt;=0,"-",-B850+C850/3)</f>
        <v>-</v>
      </c>
      <c r="I850" s="195" t="e">
        <f>G761</f>
        <v>#DIV/0!</v>
      </c>
      <c r="J850" s="200" t="str">
        <f>IF(H850="-","-",IF(H850&lt;=I850,"OK","NG"))</f>
        <v>-</v>
      </c>
      <c r="K850" s="200" t="str">
        <f>IF(H850="-","-",I850/H850)</f>
        <v>-</v>
      </c>
      <c r="L850" s="131">
        <f>IF(B850&gt;=0,B850+C850,"-")</f>
        <v>10.14801838994179</v>
      </c>
      <c r="M850" s="131">
        <f>L761</f>
        <v>379.49646488731116</v>
      </c>
      <c r="N850" s="457" t="str">
        <f>IF(L850="-","-",IF(L850&lt;=M850,"OK","NG"))</f>
        <v>OK</v>
      </c>
    </row>
    <row r="851">
      <c r="A851" s="182">
        <f>A762</f>
        <v>101</v>
      </c>
      <c r="B851" s="131">
        <f>INPUT!AR28</f>
        <v>0.60695545900194237</v>
      </c>
      <c r="C851" s="131">
        <f>ABS(K199)</f>
        <v>9.5410629309398463</v>
      </c>
      <c r="D851" s="195" t="str">
        <f>IF(B851&gt;=0,"-",-B851+C851)</f>
        <v>-</v>
      </c>
      <c r="E851" s="195">
        <f>D762*N362</f>
        <v>379.49646488731116</v>
      </c>
      <c r="F851" s="195" t="str">
        <f>INPUT!AZ28</f>
        <v>S</v>
      </c>
      <c r="G851" s="200" t="str">
        <f>IF(OR(AND(F851="S",C851=0),D851="-"),"-",IF(D851&lt;=E851,"OK","NG"))</f>
        <v>-</v>
      </c>
      <c r="H851" s="131" t="str">
        <f>IF(B851&gt;=0,"-",-B851+C851/3)</f>
        <v>-</v>
      </c>
      <c r="I851" s="195" t="e">
        <f>G762</f>
        <v>#DIV/0!</v>
      </c>
      <c r="J851" s="200" t="str">
        <f>IF(H851="-","-",IF(H851&lt;=I851,"OK","NG"))</f>
        <v>-</v>
      </c>
      <c r="K851" s="200" t="str">
        <f>IF(H851="-","-",I851/H851)</f>
        <v>-</v>
      </c>
      <c r="L851" s="131">
        <f>IF(B851&gt;=0,B851+C851,"-")</f>
        <v>10.14801838994179</v>
      </c>
      <c r="M851" s="131">
        <f>L762</f>
        <v>379.49646488731116</v>
      </c>
      <c r="N851" s="457" t="str">
        <f>IF(L851="-","-",IF(L851&lt;=M851,"OK","NG"))</f>
        <v>OK</v>
      </c>
    </row>
    <row r="852">
      <c r="A852" s="182">
        <f>A763</f>
        <v>101</v>
      </c>
      <c r="B852" s="131">
        <f>INPUT!AR29</f>
        <v>0.60695545900194237</v>
      </c>
      <c r="C852" s="131">
        <f>ABS(K200)</f>
        <v>9.5410629309398463</v>
      </c>
      <c r="D852" s="195" t="str">
        <f>IF(B852&gt;=0,"-",-B852+C852)</f>
        <v>-</v>
      </c>
      <c r="E852" s="195">
        <f>D763*N363</f>
        <v>379.49646488731116</v>
      </c>
      <c r="F852" s="195" t="str">
        <f>INPUT!AZ29</f>
        <v>S</v>
      </c>
      <c r="G852" s="200" t="str">
        <f>IF(OR(AND(F852="S",C852=0),D852="-"),"-",IF(D852&lt;=E852,"OK","NG"))</f>
        <v>-</v>
      </c>
      <c r="H852" s="131" t="str">
        <f>IF(B852&gt;=0,"-",-B852+C852/3)</f>
        <v>-</v>
      </c>
      <c r="I852" s="195" t="e">
        <f>G763</f>
        <v>#DIV/0!</v>
      </c>
      <c r="J852" s="200" t="str">
        <f>IF(H852="-","-",IF(H852&lt;=I852,"OK","NG"))</f>
        <v>-</v>
      </c>
      <c r="K852" s="200" t="str">
        <f>IF(H852="-","-",I852/H852)</f>
        <v>-</v>
      </c>
      <c r="L852" s="131">
        <f>IF(B852&gt;=0,B852+C852,"-")</f>
        <v>10.14801838994179</v>
      </c>
      <c r="M852" s="131">
        <f>L763</f>
        <v>379.49646488731116</v>
      </c>
      <c r="N852" s="457" t="str">
        <f>IF(L852="-","-",IF(L852&lt;=M852,"OK","NG"))</f>
        <v>OK</v>
      </c>
    </row>
    <row r="853">
      <c r="A853" s="182">
        <f>A764</f>
        <v>101</v>
      </c>
      <c r="B853" s="131">
        <f>INPUT!AR30</f>
        <v>0.60695545900194237</v>
      </c>
      <c r="C853" s="131">
        <f>ABS(K201)</f>
        <v>9.5410629309398463</v>
      </c>
      <c r="D853" s="195" t="str">
        <f>IF(B853&gt;=0,"-",-B853+C853)</f>
        <v>-</v>
      </c>
      <c r="E853" s="195">
        <f>D764*N364</f>
        <v>379.49646488731116</v>
      </c>
      <c r="F853" s="195" t="str">
        <f>INPUT!AZ30</f>
        <v>S</v>
      </c>
      <c r="G853" s="200" t="str">
        <f>IF(OR(AND(F853="S",C853=0),D853="-"),"-",IF(D853&lt;=E853,"OK","NG"))</f>
        <v>-</v>
      </c>
      <c r="H853" s="131" t="str">
        <f>IF(B853&gt;=0,"-",-B853+C853/3)</f>
        <v>-</v>
      </c>
      <c r="I853" s="195" t="e">
        <f>G764</f>
        <v>#DIV/0!</v>
      </c>
      <c r="J853" s="200" t="str">
        <f>IF(H853="-","-",IF(H853&lt;=I853,"OK","NG"))</f>
        <v>-</v>
      </c>
      <c r="K853" s="200" t="str">
        <f>IF(H853="-","-",I853/H853)</f>
        <v>-</v>
      </c>
      <c r="L853" s="131">
        <f>IF(B853&gt;=0,B853+C853,"-")</f>
        <v>10.14801838994179</v>
      </c>
      <c r="M853" s="131">
        <f>L764</f>
        <v>379.49646488731116</v>
      </c>
      <c r="N853" s="457" t="str">
        <f>IF(L853="-","-",IF(L853&lt;=M853,"OK","NG"))</f>
        <v>OK</v>
      </c>
    </row>
    <row r="854">
      <c r="A854" s="182">
        <f>A765</f>
        <v>101</v>
      </c>
      <c r="B854" s="131">
        <f>INPUT!AR31</f>
        <v>0.60695545900194237</v>
      </c>
      <c r="C854" s="131">
        <f>ABS(K202)</f>
        <v>9.5410629309398463</v>
      </c>
      <c r="D854" s="195" t="str">
        <f>IF(B854&gt;=0,"-",-B854+C854)</f>
        <v>-</v>
      </c>
      <c r="E854" s="195">
        <f>D765*N365</f>
        <v>379.49646488731116</v>
      </c>
      <c r="F854" s="195" t="str">
        <f>INPUT!AZ31</f>
        <v>S</v>
      </c>
      <c r="G854" s="200" t="str">
        <f>IF(OR(AND(F854="S",C854=0),D854="-"),"-",IF(D854&lt;=E854,"OK","NG"))</f>
        <v>-</v>
      </c>
      <c r="H854" s="131" t="str">
        <f>IF(B854&gt;=0,"-",-B854+C854/3)</f>
        <v>-</v>
      </c>
      <c r="I854" s="195" t="e">
        <f>G765</f>
        <v>#DIV/0!</v>
      </c>
      <c r="J854" s="200" t="str">
        <f>IF(H854="-","-",IF(H854&lt;=I854,"OK","NG"))</f>
        <v>-</v>
      </c>
      <c r="K854" s="200" t="str">
        <f>IF(H854="-","-",I854/H854)</f>
        <v>-</v>
      </c>
      <c r="L854" s="131">
        <f>IF(B854&gt;=0,B854+C854,"-")</f>
        <v>10.14801838994179</v>
      </c>
      <c r="M854" s="131">
        <f>L765</f>
        <v>379.49646488731116</v>
      </c>
      <c r="N854" s="457" t="str">
        <f>IF(L854="-","-",IF(L854&lt;=M854,"OK","NG"))</f>
        <v>OK</v>
      </c>
    </row>
    <row r="855">
      <c r="A855" s="182">
        <f>A766</f>
        <v>101</v>
      </c>
      <c r="B855" s="131">
        <f>INPUT!AR32</f>
        <v>0.60695545900194237</v>
      </c>
      <c r="C855" s="131">
        <f>ABS(K203)</f>
        <v>9.5410629309398463</v>
      </c>
      <c r="D855" s="195" t="str">
        <f>IF(B855&gt;=0,"-",-B855+C855)</f>
        <v>-</v>
      </c>
      <c r="E855" s="195">
        <f>D766*N366</f>
        <v>379.49646488731116</v>
      </c>
      <c r="F855" s="195" t="str">
        <f>INPUT!AZ32</f>
        <v>S</v>
      </c>
      <c r="G855" s="200" t="str">
        <f>IF(OR(AND(F855="S",C855=0),D855="-"),"-",IF(D855&lt;=E855,"OK","NG"))</f>
        <v>-</v>
      </c>
      <c r="H855" s="131" t="str">
        <f>IF(B855&gt;=0,"-",-B855+C855/3)</f>
        <v>-</v>
      </c>
      <c r="I855" s="195" t="e">
        <f>G766</f>
        <v>#DIV/0!</v>
      </c>
      <c r="J855" s="200" t="str">
        <f>IF(H855="-","-",IF(H855&lt;=I855,"OK","NG"))</f>
        <v>-</v>
      </c>
      <c r="K855" s="200" t="str">
        <f>IF(H855="-","-",I855/H855)</f>
        <v>-</v>
      </c>
      <c r="L855" s="131">
        <f>IF(B855&gt;=0,B855+C855,"-")</f>
        <v>10.14801838994179</v>
      </c>
      <c r="M855" s="131">
        <f>L766</f>
        <v>379.49646488731116</v>
      </c>
      <c r="N855" s="457" t="str">
        <f>IF(L855="-","-",IF(L855&lt;=M855,"OK","NG"))</f>
        <v>OK</v>
      </c>
    </row>
    <row r="856">
      <c r="A856" s="182">
        <f>A767</f>
        <v>101</v>
      </c>
      <c r="B856" s="131">
        <f>INPUT!AR33</f>
        <v>0.60695545900194237</v>
      </c>
      <c r="C856" s="131">
        <f>ABS(K204)</f>
        <v>9.5410629309398463</v>
      </c>
      <c r="D856" s="195" t="str">
        <f>IF(B856&gt;=0,"-",-B856+C856)</f>
        <v>-</v>
      </c>
      <c r="E856" s="195">
        <f>D767*N367</f>
        <v>379.49646488731116</v>
      </c>
      <c r="F856" s="195" t="str">
        <f>INPUT!AZ33</f>
        <v>S</v>
      </c>
      <c r="G856" s="200" t="str">
        <f>IF(OR(AND(F856="S",C856=0),D856="-"),"-",IF(D856&lt;=E856,"OK","NG"))</f>
        <v>-</v>
      </c>
      <c r="H856" s="131" t="str">
        <f>IF(B856&gt;=0,"-",-B856+C856/3)</f>
        <v>-</v>
      </c>
      <c r="I856" s="195" t="e">
        <f>G767</f>
        <v>#DIV/0!</v>
      </c>
      <c r="J856" s="200" t="str">
        <f>IF(H856="-","-",IF(H856&lt;=I856,"OK","NG"))</f>
        <v>-</v>
      </c>
      <c r="K856" s="200" t="str">
        <f>IF(H856="-","-",I856/H856)</f>
        <v>-</v>
      </c>
      <c r="L856" s="131">
        <f>IF(B856&gt;=0,B856+C856,"-")</f>
        <v>10.14801838994179</v>
      </c>
      <c r="M856" s="131">
        <f>L767</f>
        <v>379.49646488731116</v>
      </c>
      <c r="N856" s="457" t="str">
        <f>IF(L856="-","-",IF(L856&lt;=M856,"OK","NG"))</f>
        <v>OK</v>
      </c>
    </row>
    <row r="857">
      <c r="A857" s="182">
        <f>A768</f>
        <v>101</v>
      </c>
      <c r="B857" s="131">
        <f>INPUT!AR34</f>
        <v>0.60695545900194237</v>
      </c>
      <c r="C857" s="131">
        <f>ABS(K205)</f>
        <v>9.5410629309398463</v>
      </c>
      <c r="D857" s="195" t="str">
        <f>IF(B857&gt;=0,"-",-B857+C857)</f>
        <v>-</v>
      </c>
      <c r="E857" s="195">
        <f>D768*N368</f>
        <v>379.49646488731116</v>
      </c>
      <c r="F857" s="195" t="str">
        <f>INPUT!AZ34</f>
        <v>S</v>
      </c>
      <c r="G857" s="200" t="str">
        <f>IF(OR(AND(F857="S",C857=0),D857="-"),"-",IF(D857&lt;=E857,"OK","NG"))</f>
        <v>-</v>
      </c>
      <c r="H857" s="131" t="str">
        <f>IF(B857&gt;=0,"-",-B857+C857/3)</f>
        <v>-</v>
      </c>
      <c r="I857" s="195" t="e">
        <f>G768</f>
        <v>#DIV/0!</v>
      </c>
      <c r="J857" s="200" t="str">
        <f>IF(H857="-","-",IF(H857&lt;=I857,"OK","NG"))</f>
        <v>-</v>
      </c>
      <c r="K857" s="200" t="str">
        <f>IF(H857="-","-",I857/H857)</f>
        <v>-</v>
      </c>
      <c r="L857" s="131">
        <f>IF(B857&gt;=0,B857+C857,"-")</f>
        <v>10.14801838994179</v>
      </c>
      <c r="M857" s="131">
        <f>L768</f>
        <v>379.49646488731116</v>
      </c>
      <c r="N857" s="457" t="str">
        <f>IF(L857="-","-",IF(L857&lt;=M857,"OK","NG"))</f>
        <v>OK</v>
      </c>
    </row>
    <row r="858">
      <c r="A858" s="182">
        <f>A769</f>
        <v>101</v>
      </c>
      <c r="B858" s="131">
        <f>INPUT!AR35</f>
        <v>0.60695545900194237</v>
      </c>
      <c r="C858" s="131">
        <f>ABS(K206)</f>
        <v>9.5410629309398463</v>
      </c>
      <c r="D858" s="195" t="str">
        <f>IF(B858&gt;=0,"-",-B858+C858)</f>
        <v>-</v>
      </c>
      <c r="E858" s="195">
        <f>D769*N369</f>
        <v>379.49646488731116</v>
      </c>
      <c r="F858" s="195" t="str">
        <f>INPUT!AZ35</f>
        <v>S</v>
      </c>
      <c r="G858" s="200" t="str">
        <f>IF(OR(AND(F858="S",C858=0),D858="-"),"-",IF(D858&lt;=E858,"OK","NG"))</f>
        <v>-</v>
      </c>
      <c r="H858" s="131" t="str">
        <f>IF(B858&gt;=0,"-",-B858+C858/3)</f>
        <v>-</v>
      </c>
      <c r="I858" s="195" t="e">
        <f>G769</f>
        <v>#DIV/0!</v>
      </c>
      <c r="J858" s="200" t="str">
        <f>IF(H858="-","-",IF(H858&lt;=I858,"OK","NG"))</f>
        <v>-</v>
      </c>
      <c r="K858" s="200" t="str">
        <f>IF(H858="-","-",I858/H858)</f>
        <v>-</v>
      </c>
      <c r="L858" s="131">
        <f>IF(B858&gt;=0,B858+C858,"-")</f>
        <v>10.14801838994179</v>
      </c>
      <c r="M858" s="131">
        <f>L769</f>
        <v>379.49646488731116</v>
      </c>
      <c r="N858" s="457" t="str">
        <f>IF(L858="-","-",IF(L858&lt;=M858,"OK","NG"))</f>
        <v>OK</v>
      </c>
    </row>
    <row r="859">
      <c r="A859" s="182">
        <f>A770</f>
        <v>101</v>
      </c>
      <c r="B859" s="131">
        <f>INPUT!AR36</f>
        <v>0.60695545900194237</v>
      </c>
      <c r="C859" s="131">
        <f>ABS(K207)</f>
        <v>9.5410629309398463</v>
      </c>
      <c r="D859" s="195" t="str">
        <f>IF(B859&gt;=0,"-",-B859+C859)</f>
        <v>-</v>
      </c>
      <c r="E859" s="195">
        <f>D770*N370</f>
        <v>379.49646488731116</v>
      </c>
      <c r="F859" s="195" t="str">
        <f>INPUT!AZ36</f>
        <v>S</v>
      </c>
      <c r="G859" s="200" t="str">
        <f>IF(OR(AND(F859="S",C859=0),D859="-"),"-",IF(D859&lt;=E859,"OK","NG"))</f>
        <v>-</v>
      </c>
      <c r="H859" s="131" t="str">
        <f>IF(B859&gt;=0,"-",-B859+C859/3)</f>
        <v>-</v>
      </c>
      <c r="I859" s="195" t="e">
        <f>G770</f>
        <v>#DIV/0!</v>
      </c>
      <c r="J859" s="200" t="str">
        <f>IF(H859="-","-",IF(H859&lt;=I859,"OK","NG"))</f>
        <v>-</v>
      </c>
      <c r="K859" s="200" t="str">
        <f>IF(H859="-","-",I859/H859)</f>
        <v>-</v>
      </c>
      <c r="L859" s="131">
        <f>IF(B859&gt;=0,B859+C859,"-")</f>
        <v>10.14801838994179</v>
      </c>
      <c r="M859" s="131">
        <f>L770</f>
        <v>379.49646488731116</v>
      </c>
      <c r="N859" s="457" t="str">
        <f>IF(L859="-","-",IF(L859&lt;=M859,"OK","NG"))</f>
        <v>OK</v>
      </c>
    </row>
    <row r="860">
      <c r="A860" s="182">
        <f>A771</f>
        <v>101</v>
      </c>
      <c r="B860" s="131">
        <f>INPUT!AR37</f>
        <v>0.60695545900194237</v>
      </c>
      <c r="C860" s="131">
        <f>ABS(K208)</f>
        <v>9.5410629309398463</v>
      </c>
      <c r="D860" s="195" t="str">
        <f>IF(B860&gt;=0,"-",-B860+C860)</f>
        <v>-</v>
      </c>
      <c r="E860" s="195">
        <f>D771*N371</f>
        <v>379.49646488731116</v>
      </c>
      <c r="F860" s="195" t="str">
        <f>INPUT!AZ37</f>
        <v>S</v>
      </c>
      <c r="G860" s="200" t="str">
        <f>IF(OR(AND(F860="S",C860=0),D860="-"),"-",IF(D860&lt;=E860,"OK","NG"))</f>
        <v>-</v>
      </c>
      <c r="H860" s="131" t="str">
        <f>IF(B860&gt;=0,"-",-B860+C860/3)</f>
        <v>-</v>
      </c>
      <c r="I860" s="195" t="e">
        <f>G771</f>
        <v>#DIV/0!</v>
      </c>
      <c r="J860" s="200" t="str">
        <f>IF(H860="-","-",IF(H860&lt;=I860,"OK","NG"))</f>
        <v>-</v>
      </c>
      <c r="K860" s="200" t="str">
        <f>IF(H860="-","-",I860/H860)</f>
        <v>-</v>
      </c>
      <c r="L860" s="131">
        <f>IF(B860&gt;=0,B860+C860,"-")</f>
        <v>10.14801838994179</v>
      </c>
      <c r="M860" s="131">
        <f>L771</f>
        <v>379.49646488731116</v>
      </c>
      <c r="N860" s="457" t="str">
        <f>IF(L860="-","-",IF(L860&lt;=M860,"OK","NG"))</f>
        <v>OK</v>
      </c>
    </row>
    <row r="861">
      <c r="A861" s="182">
        <f>A772</f>
        <v>101</v>
      </c>
      <c r="B861" s="131">
        <f>INPUT!AR38</f>
        <v>0.60695545900194237</v>
      </c>
      <c r="C861" s="131">
        <f>ABS(K209)</f>
        <v>9.5410629309398463</v>
      </c>
      <c r="D861" s="195" t="str">
        <f>IF(B861&gt;=0,"-",-B861+C861)</f>
        <v>-</v>
      </c>
      <c r="E861" s="195">
        <f>D772*N372</f>
        <v>379.49646488731116</v>
      </c>
      <c r="F861" s="195" t="str">
        <f>INPUT!AZ38</f>
        <v>S</v>
      </c>
      <c r="G861" s="200" t="str">
        <f>IF(OR(AND(F861="S",C861=0),D861="-"),"-",IF(D861&lt;=E861,"OK","NG"))</f>
        <v>-</v>
      </c>
      <c r="H861" s="131" t="str">
        <f>IF(B861&gt;=0,"-",-B861+C861/3)</f>
        <v>-</v>
      </c>
      <c r="I861" s="195" t="e">
        <f>G772</f>
        <v>#DIV/0!</v>
      </c>
      <c r="J861" s="200" t="str">
        <f>IF(H861="-","-",IF(H861&lt;=I861,"OK","NG"))</f>
        <v>-</v>
      </c>
      <c r="K861" s="200" t="str">
        <f>IF(H861="-","-",I861/H861)</f>
        <v>-</v>
      </c>
      <c r="L861" s="131">
        <f>IF(B861&gt;=0,B861+C861,"-")</f>
        <v>10.14801838994179</v>
      </c>
      <c r="M861" s="131">
        <f>L772</f>
        <v>379.49646488731116</v>
      </c>
      <c r="N861" s="457" t="str">
        <f>IF(L861="-","-",IF(L861&lt;=M861,"OK","NG"))</f>
        <v>OK</v>
      </c>
    </row>
    <row r="862">
      <c r="A862" s="182">
        <f>A773</f>
        <v>101</v>
      </c>
      <c r="B862" s="131">
        <f>INPUT!AR39</f>
        <v>0.60695545900194237</v>
      </c>
      <c r="C862" s="131">
        <f>ABS(K210)</f>
        <v>9.5410629309398463</v>
      </c>
      <c r="D862" s="195" t="str">
        <f>IF(B862&gt;=0,"-",-B862+C862)</f>
        <v>-</v>
      </c>
      <c r="E862" s="195">
        <f>D773*N373</f>
        <v>379.49646488731116</v>
      </c>
      <c r="F862" s="195" t="str">
        <f>INPUT!AZ39</f>
        <v>S</v>
      </c>
      <c r="G862" s="200" t="str">
        <f>IF(OR(AND(F862="S",C862=0),D862="-"),"-",IF(D862&lt;=E862,"OK","NG"))</f>
        <v>-</v>
      </c>
      <c r="H862" s="131" t="str">
        <f>IF(B862&gt;=0,"-",-B862+C862/3)</f>
        <v>-</v>
      </c>
      <c r="I862" s="195" t="e">
        <f>G773</f>
        <v>#DIV/0!</v>
      </c>
      <c r="J862" s="200" t="str">
        <f>IF(H862="-","-",IF(H862&lt;=I862,"OK","NG"))</f>
        <v>-</v>
      </c>
      <c r="K862" s="200" t="str">
        <f>IF(H862="-","-",I862/H862)</f>
        <v>-</v>
      </c>
      <c r="L862" s="131">
        <f>IF(B862&gt;=0,B862+C862,"-")</f>
        <v>10.14801838994179</v>
      </c>
      <c r="M862" s="131">
        <f>L773</f>
        <v>379.49646488731116</v>
      </c>
      <c r="N862" s="457" t="str">
        <f>IF(L862="-","-",IF(L862&lt;=M862,"OK","NG"))</f>
        <v>OK</v>
      </c>
    </row>
    <row r="863">
      <c r="A863" s="182">
        <f>A774</f>
        <v>101</v>
      </c>
      <c r="B863" s="131">
        <f>INPUT!AR40</f>
        <v>0.60695545900194237</v>
      </c>
      <c r="C863" s="131">
        <f>ABS(K211)</f>
        <v>9.5410629309398463</v>
      </c>
      <c r="D863" s="195" t="str">
        <f>IF(B863&gt;=0,"-",-B863+C863)</f>
        <v>-</v>
      </c>
      <c r="E863" s="195">
        <f>D774*N374</f>
        <v>379.49646488731116</v>
      </c>
      <c r="F863" s="195" t="str">
        <f>INPUT!AZ40</f>
        <v>S</v>
      </c>
      <c r="G863" s="200" t="str">
        <f>IF(OR(AND(F863="S",C863=0),D863="-"),"-",IF(D863&lt;=E863,"OK","NG"))</f>
        <v>-</v>
      </c>
      <c r="H863" s="131" t="str">
        <f>IF(B863&gt;=0,"-",-B863+C863/3)</f>
        <v>-</v>
      </c>
      <c r="I863" s="195" t="e">
        <f>G774</f>
        <v>#DIV/0!</v>
      </c>
      <c r="J863" s="200" t="str">
        <f>IF(H863="-","-",IF(H863&lt;=I863,"OK","NG"))</f>
        <v>-</v>
      </c>
      <c r="K863" s="200" t="str">
        <f>IF(H863="-","-",I863/H863)</f>
        <v>-</v>
      </c>
      <c r="L863" s="131">
        <f>IF(B863&gt;=0,B863+C863,"-")</f>
        <v>10.14801838994179</v>
      </c>
      <c r="M863" s="131">
        <f>L774</f>
        <v>379.49646488731116</v>
      </c>
      <c r="N863" s="457" t="str">
        <f>IF(L863="-","-",IF(L863&lt;=M863,"OK","NG"))</f>
        <v>OK</v>
      </c>
    </row>
    <row r="864">
      <c r="A864" s="182">
        <f>A775</f>
        <v>101</v>
      </c>
      <c r="B864" s="131">
        <f>INPUT!AR41</f>
        <v>0.60695545900194237</v>
      </c>
      <c r="C864" s="131">
        <f>ABS(K212)</f>
        <v>9.5410629309398463</v>
      </c>
      <c r="D864" s="195" t="str">
        <f>IF(B864&gt;=0,"-",-B864+C864)</f>
        <v>-</v>
      </c>
      <c r="E864" s="195">
        <f>D775*N375</f>
        <v>379.49646488731116</v>
      </c>
      <c r="F864" s="195" t="str">
        <f>INPUT!AZ41</f>
        <v>S</v>
      </c>
      <c r="G864" s="200" t="str">
        <f>IF(OR(AND(F864="S",C864=0),D864="-"),"-",IF(D864&lt;=E864,"OK","NG"))</f>
        <v>-</v>
      </c>
      <c r="H864" s="131" t="str">
        <f>IF(B864&gt;=0,"-",-B864+C864/3)</f>
        <v>-</v>
      </c>
      <c r="I864" s="195" t="e">
        <f>G775</f>
        <v>#DIV/0!</v>
      </c>
      <c r="J864" s="200" t="str">
        <f>IF(H864="-","-",IF(H864&lt;=I864,"OK","NG"))</f>
        <v>-</v>
      </c>
      <c r="K864" s="200" t="str">
        <f>IF(H864="-","-",I864/H864)</f>
        <v>-</v>
      </c>
      <c r="L864" s="131">
        <f>IF(B864&gt;=0,B864+C864,"-")</f>
        <v>10.14801838994179</v>
      </c>
      <c r="M864" s="131">
        <f>L775</f>
        <v>379.49646488731116</v>
      </c>
      <c r="N864" s="457" t="str">
        <f>IF(L864="-","-",IF(L864&lt;=M864,"OK","NG"))</f>
        <v>OK</v>
      </c>
    </row>
    <row r="865">
      <c r="A865" s="182">
        <f>A776</f>
        <v>101</v>
      </c>
      <c r="B865" s="131">
        <f>INPUT!AR42</f>
        <v>0.60695545900194237</v>
      </c>
      <c r="C865" s="131">
        <f>ABS(K213)</f>
        <v>9.5410629309398463</v>
      </c>
      <c r="D865" s="195" t="str">
        <f>IF(B865&gt;=0,"-",-B865+C865)</f>
        <v>-</v>
      </c>
      <c r="E865" s="195">
        <f>D776*N376</f>
        <v>379.49646488731116</v>
      </c>
      <c r="F865" s="195" t="str">
        <f>INPUT!AZ42</f>
        <v>S</v>
      </c>
      <c r="G865" s="200" t="str">
        <f>IF(OR(AND(F865="S",C865=0),D865="-"),"-",IF(D865&lt;=E865,"OK","NG"))</f>
        <v>-</v>
      </c>
      <c r="H865" s="131" t="str">
        <f>IF(B865&gt;=0,"-",-B865+C865/3)</f>
        <v>-</v>
      </c>
      <c r="I865" s="195" t="e">
        <f>G776</f>
        <v>#DIV/0!</v>
      </c>
      <c r="J865" s="200" t="str">
        <f>IF(H865="-","-",IF(H865&lt;=I865,"OK","NG"))</f>
        <v>-</v>
      </c>
      <c r="K865" s="200" t="str">
        <f>IF(H865="-","-",I865/H865)</f>
        <v>-</v>
      </c>
      <c r="L865" s="131">
        <f>IF(B865&gt;=0,B865+C865,"-")</f>
        <v>10.14801838994179</v>
      </c>
      <c r="M865" s="131">
        <f>L776</f>
        <v>379.49646488731116</v>
      </c>
      <c r="N865" s="457" t="str">
        <f>IF(L865="-","-",IF(L865&lt;=M865,"OK","NG"))</f>
        <v>OK</v>
      </c>
    </row>
    <row r="866">
      <c r="A866" s="182">
        <f>A777</f>
        <v>101</v>
      </c>
      <c r="B866" s="131">
        <f>INPUT!AR43</f>
        <v>0.60695545900194237</v>
      </c>
      <c r="C866" s="131">
        <f>ABS(K214)</f>
        <v>9.5410629309398463</v>
      </c>
      <c r="D866" s="195" t="str">
        <f>IF(B866&gt;=0,"-",-B866+C866)</f>
        <v>-</v>
      </c>
      <c r="E866" s="195">
        <f>D777*N377</f>
        <v>379.49646488731116</v>
      </c>
      <c r="F866" s="195" t="str">
        <f>INPUT!AZ43</f>
        <v>S</v>
      </c>
      <c r="G866" s="200" t="str">
        <f>IF(OR(AND(F866="S",C866=0),D866="-"),"-",IF(D866&lt;=E866,"OK","NG"))</f>
        <v>-</v>
      </c>
      <c r="H866" s="131" t="str">
        <f>IF(B866&gt;=0,"-",-B866+C866/3)</f>
        <v>-</v>
      </c>
      <c r="I866" s="195" t="e">
        <f>G777</f>
        <v>#DIV/0!</v>
      </c>
      <c r="J866" s="200" t="str">
        <f>IF(H866="-","-",IF(H866&lt;=I866,"OK","NG"))</f>
        <v>-</v>
      </c>
      <c r="K866" s="200" t="str">
        <f>IF(H866="-","-",I866/H866)</f>
        <v>-</v>
      </c>
      <c r="L866" s="131">
        <f>IF(B866&gt;=0,B866+C866,"-")</f>
        <v>10.14801838994179</v>
      </c>
      <c r="M866" s="131">
        <f>L777</f>
        <v>379.49646488731116</v>
      </c>
      <c r="N866" s="457" t="str">
        <f>IF(L866="-","-",IF(L866&lt;=M866,"OK","NG"))</f>
        <v>OK</v>
      </c>
    </row>
    <row r="867">
      <c r="A867" s="182">
        <f>A778</f>
        <v>101</v>
      </c>
      <c r="B867" s="131">
        <f>INPUT!AR44</f>
        <v>0.60695545900194237</v>
      </c>
      <c r="C867" s="131">
        <f>ABS(K215)</f>
        <v>9.5410629309398463</v>
      </c>
      <c r="D867" s="195" t="str">
        <f>IF(B867&gt;=0,"-",-B867+C867)</f>
        <v>-</v>
      </c>
      <c r="E867" s="195">
        <f>D778*N378</f>
        <v>379.49646488731116</v>
      </c>
      <c r="F867" s="195" t="str">
        <f>INPUT!AZ44</f>
        <v>S</v>
      </c>
      <c r="G867" s="200" t="str">
        <f>IF(OR(AND(F867="S",C867=0),D867="-"),"-",IF(D867&lt;=E867,"OK","NG"))</f>
        <v>-</v>
      </c>
      <c r="H867" s="131" t="str">
        <f>IF(B867&gt;=0,"-",-B867+C867/3)</f>
        <v>-</v>
      </c>
      <c r="I867" s="195" t="e">
        <f>G778</f>
        <v>#DIV/0!</v>
      </c>
      <c r="J867" s="200" t="str">
        <f>IF(H867="-","-",IF(H867&lt;=I867,"OK","NG"))</f>
        <v>-</v>
      </c>
      <c r="K867" s="200" t="str">
        <f>IF(H867="-","-",I867/H867)</f>
        <v>-</v>
      </c>
      <c r="L867" s="131">
        <f>IF(B867&gt;=0,B867+C867,"-")</f>
        <v>10.14801838994179</v>
      </c>
      <c r="M867" s="131">
        <f>L778</f>
        <v>379.49646488731116</v>
      </c>
      <c r="N867" s="457" t="str">
        <f>IF(L867="-","-",IF(L867&lt;=M867,"OK","NG"))</f>
        <v>OK</v>
      </c>
    </row>
    <row r="868">
      <c r="A868" s="182">
        <f>A779</f>
        <v>101</v>
      </c>
      <c r="B868" s="131">
        <f>INPUT!AR45</f>
        <v>0.60695545900194237</v>
      </c>
      <c r="C868" s="131">
        <f>ABS(K216)</f>
        <v>9.5410629309398463</v>
      </c>
      <c r="D868" s="195" t="str">
        <f>IF(B868&gt;=0,"-",-B868+C868)</f>
        <v>-</v>
      </c>
      <c r="E868" s="195">
        <f>D779*N379</f>
        <v>379.49646488731116</v>
      </c>
      <c r="F868" s="195" t="str">
        <f>INPUT!AZ45</f>
        <v>S</v>
      </c>
      <c r="G868" s="200" t="str">
        <f>IF(OR(AND(F868="S",C868=0),D868="-"),"-",IF(D868&lt;=E868,"OK","NG"))</f>
        <v>-</v>
      </c>
      <c r="H868" s="131" t="str">
        <f>IF(B868&gt;=0,"-",-B868+C868/3)</f>
        <v>-</v>
      </c>
      <c r="I868" s="195" t="e">
        <f>G779</f>
        <v>#DIV/0!</v>
      </c>
      <c r="J868" s="200" t="str">
        <f>IF(H868="-","-",IF(H868&lt;=I868,"OK","NG"))</f>
        <v>-</v>
      </c>
      <c r="K868" s="200" t="str">
        <f>IF(H868="-","-",I868/H868)</f>
        <v>-</v>
      </c>
      <c r="L868" s="131">
        <f>IF(B868&gt;=0,B868+C868,"-")</f>
        <v>10.14801838994179</v>
      </c>
      <c r="M868" s="131">
        <f>L779</f>
        <v>379.49646488731116</v>
      </c>
      <c r="N868" s="457" t="str">
        <f>IF(L868="-","-",IF(L868&lt;=M868,"OK","NG"))</f>
        <v>OK</v>
      </c>
    </row>
    <row r="869">
      <c r="A869" s="182">
        <f>A780</f>
        <v>101</v>
      </c>
      <c r="B869" s="131">
        <f>INPUT!AR46</f>
        <v>0.60695545900194237</v>
      </c>
      <c r="C869" s="131">
        <f>ABS(K217)</f>
        <v>9.5410629309398463</v>
      </c>
      <c r="D869" s="195" t="str">
        <f>IF(B869&gt;=0,"-",-B869+C869)</f>
        <v>-</v>
      </c>
      <c r="E869" s="195">
        <f>D780*N380</f>
        <v>379.49646488731116</v>
      </c>
      <c r="F869" s="195" t="str">
        <f>INPUT!AZ46</f>
        <v>S</v>
      </c>
      <c r="G869" s="200" t="str">
        <f>IF(OR(AND(F869="S",C869=0),D869="-"),"-",IF(D869&lt;=E869,"OK","NG"))</f>
        <v>-</v>
      </c>
      <c r="H869" s="131" t="str">
        <f>IF(B869&gt;=0,"-",-B869+C869/3)</f>
        <v>-</v>
      </c>
      <c r="I869" s="195" t="e">
        <f>G780</f>
        <v>#DIV/0!</v>
      </c>
      <c r="J869" s="200" t="str">
        <f>IF(H869="-","-",IF(H869&lt;=I869,"OK","NG"))</f>
        <v>-</v>
      </c>
      <c r="K869" s="200" t="str">
        <f>IF(H869="-","-",I869/H869)</f>
        <v>-</v>
      </c>
      <c r="L869" s="131">
        <f>IF(B869&gt;=0,B869+C869,"-")</f>
        <v>10.14801838994179</v>
      </c>
      <c r="M869" s="131">
        <f>L780</f>
        <v>379.49646488731116</v>
      </c>
      <c r="N869" s="457" t="str">
        <f>IF(L869="-","-",IF(L869&lt;=M869,"OK","NG"))</f>
        <v>OK</v>
      </c>
    </row>
    <row r="870">
      <c r="A870" s="182">
        <f>A781</f>
        <v>101</v>
      </c>
      <c r="B870" s="131">
        <f>INPUT!AR47</f>
        <v>0.60695545900194237</v>
      </c>
      <c r="C870" s="131">
        <f>ABS(K218)</f>
        <v>9.5410629309398463</v>
      </c>
      <c r="D870" s="195" t="str">
        <f>IF(B870&gt;=0,"-",-B870+C870)</f>
        <v>-</v>
      </c>
      <c r="E870" s="195">
        <f>D781*N381</f>
        <v>379.49646488731116</v>
      </c>
      <c r="F870" s="195" t="str">
        <f>INPUT!AZ47</f>
        <v>S</v>
      </c>
      <c r="G870" s="200" t="str">
        <f>IF(OR(AND(F870="S",C870=0),D870="-"),"-",IF(D870&lt;=E870,"OK","NG"))</f>
        <v>-</v>
      </c>
      <c r="H870" s="131" t="str">
        <f>IF(B870&gt;=0,"-",-B870+C870/3)</f>
        <v>-</v>
      </c>
      <c r="I870" s="195" t="e">
        <f>G781</f>
        <v>#DIV/0!</v>
      </c>
      <c r="J870" s="200" t="str">
        <f>IF(H870="-","-",IF(H870&lt;=I870,"OK","NG"))</f>
        <v>-</v>
      </c>
      <c r="K870" s="200" t="str">
        <f>IF(H870="-","-",I870/H870)</f>
        <v>-</v>
      </c>
      <c r="L870" s="131">
        <f>IF(B870&gt;=0,B870+C870,"-")</f>
        <v>10.14801838994179</v>
      </c>
      <c r="M870" s="131">
        <f>L781</f>
        <v>379.49646488731116</v>
      </c>
      <c r="N870" s="457" t="str">
        <f>IF(L870="-","-",IF(L870&lt;=M870,"OK","NG"))</f>
        <v>OK</v>
      </c>
    </row>
    <row r="871">
      <c r="A871" s="182">
        <f>A782</f>
        <v>101</v>
      </c>
      <c r="B871" s="131">
        <f>INPUT!AR48</f>
        <v>0.60695545900194237</v>
      </c>
      <c r="C871" s="131">
        <f>ABS(K219)</f>
        <v>9.5410629309398463</v>
      </c>
      <c r="D871" s="195" t="str">
        <f>IF(B871&gt;=0,"-",-B871+C871)</f>
        <v>-</v>
      </c>
      <c r="E871" s="195">
        <f>D782*N382</f>
        <v>379.49646488731116</v>
      </c>
      <c r="F871" s="195" t="str">
        <f>INPUT!AZ48</f>
        <v>S</v>
      </c>
      <c r="G871" s="200" t="str">
        <f>IF(OR(AND(F871="S",C871=0),D871="-"),"-",IF(D871&lt;=E871,"OK","NG"))</f>
        <v>-</v>
      </c>
      <c r="H871" s="131" t="str">
        <f>IF(B871&gt;=0,"-",-B871+C871/3)</f>
        <v>-</v>
      </c>
      <c r="I871" s="195" t="e">
        <f>G782</f>
        <v>#DIV/0!</v>
      </c>
      <c r="J871" s="200" t="str">
        <f>IF(H871="-","-",IF(H871&lt;=I871,"OK","NG"))</f>
        <v>-</v>
      </c>
      <c r="K871" s="200" t="str">
        <f>IF(H871="-","-",I871/H871)</f>
        <v>-</v>
      </c>
      <c r="L871" s="131">
        <f>IF(B871&gt;=0,B871+C871,"-")</f>
        <v>10.14801838994179</v>
      </c>
      <c r="M871" s="131">
        <f>L782</f>
        <v>379.49646488731116</v>
      </c>
      <c r="N871" s="457" t="str">
        <f>IF(L871="-","-",IF(L871&lt;=M871,"OK","NG"))</f>
        <v>OK</v>
      </c>
    </row>
    <row r="872">
      <c r="A872" s="182">
        <f>A783</f>
        <v>101</v>
      </c>
      <c r="B872" s="131">
        <f>INPUT!AR49</f>
        <v>0.60695545900194237</v>
      </c>
      <c r="C872" s="131">
        <f>ABS(K220)</f>
        <v>9.5410629309398463</v>
      </c>
      <c r="D872" s="195" t="str">
        <f>IF(B872&gt;=0,"-",-B872+C872)</f>
        <v>-</v>
      </c>
      <c r="E872" s="195">
        <f>D783*N383</f>
        <v>379.49646488731116</v>
      </c>
      <c r="F872" s="195" t="str">
        <f>INPUT!AZ49</f>
        <v>S</v>
      </c>
      <c r="G872" s="200" t="str">
        <f>IF(OR(AND(F872="S",C872=0),D872="-"),"-",IF(D872&lt;=E872,"OK","NG"))</f>
        <v>-</v>
      </c>
      <c r="H872" s="131" t="str">
        <f>IF(B872&gt;=0,"-",-B872+C872/3)</f>
        <v>-</v>
      </c>
      <c r="I872" s="195" t="e">
        <f>G783</f>
        <v>#DIV/0!</v>
      </c>
      <c r="J872" s="200" t="str">
        <f>IF(H872="-","-",IF(H872&lt;=I872,"OK","NG"))</f>
        <v>-</v>
      </c>
      <c r="K872" s="200" t="str">
        <f>IF(H872="-","-",I872/H872)</f>
        <v>-</v>
      </c>
      <c r="L872" s="131">
        <f>IF(B872&gt;=0,B872+C872,"-")</f>
        <v>10.14801838994179</v>
      </c>
      <c r="M872" s="131">
        <f>L783</f>
        <v>379.49646488731116</v>
      </c>
      <c r="N872" s="457" t="str">
        <f>IF(L872="-","-",IF(L872&lt;=M872,"OK","NG"))</f>
        <v>OK</v>
      </c>
    </row>
    <row r="873">
      <c r="A873" s="182">
        <f>A784</f>
        <v>101</v>
      </c>
      <c r="B873" s="131">
        <f>INPUT!AR50</f>
        <v>0.60695545900194237</v>
      </c>
      <c r="C873" s="131">
        <f>ABS(K221)</f>
        <v>9.5410629309398463</v>
      </c>
      <c r="D873" s="195" t="str">
        <f>IF(B873&gt;=0,"-",-B873+C873)</f>
        <v>-</v>
      </c>
      <c r="E873" s="195">
        <f>D784*N384</f>
        <v>379.49646488731116</v>
      </c>
      <c r="F873" s="195" t="str">
        <f>INPUT!AZ50</f>
        <v>S</v>
      </c>
      <c r="G873" s="200" t="str">
        <f>IF(OR(AND(F873="S",C873=0),D873="-"),"-",IF(D873&lt;=E873,"OK","NG"))</f>
        <v>-</v>
      </c>
      <c r="H873" s="131" t="str">
        <f>IF(B873&gt;=0,"-",-B873+C873/3)</f>
        <v>-</v>
      </c>
      <c r="I873" s="195" t="e">
        <f>G784</f>
        <v>#DIV/0!</v>
      </c>
      <c r="J873" s="200" t="str">
        <f>IF(H873="-","-",IF(H873&lt;=I873,"OK","NG"))</f>
        <v>-</v>
      </c>
      <c r="K873" s="200" t="str">
        <f>IF(H873="-","-",I873/H873)</f>
        <v>-</v>
      </c>
      <c r="L873" s="131">
        <f>IF(B873&gt;=0,B873+C873,"-")</f>
        <v>10.14801838994179</v>
      </c>
      <c r="M873" s="131">
        <f>L784</f>
        <v>379.49646488731116</v>
      </c>
      <c r="N873" s="457" t="str">
        <f>IF(L873="-","-",IF(L873&lt;=M873,"OK","NG"))</f>
        <v>OK</v>
      </c>
    </row>
    <row r="874">
      <c r="A874" s="182">
        <f>A785</f>
        <v>101</v>
      </c>
      <c r="B874" s="131">
        <f>INPUT!AR51</f>
        <v>0.60695545900194237</v>
      </c>
      <c r="C874" s="131">
        <f>ABS(K222)</f>
        <v>9.5410629309398463</v>
      </c>
      <c r="D874" s="195" t="str">
        <f>IF(B874&gt;=0,"-",-B874+C874)</f>
        <v>-</v>
      </c>
      <c r="E874" s="195">
        <f>D785*N385</f>
        <v>379.49646488731116</v>
      </c>
      <c r="F874" s="195" t="str">
        <f>INPUT!AZ51</f>
        <v>S</v>
      </c>
      <c r="G874" s="200" t="str">
        <f>IF(OR(AND(F874="S",C874=0),D874="-"),"-",IF(D874&lt;=E874,"OK","NG"))</f>
        <v>-</v>
      </c>
      <c r="H874" s="131" t="str">
        <f>IF(B874&gt;=0,"-",-B874+C874/3)</f>
        <v>-</v>
      </c>
      <c r="I874" s="195" t="e">
        <f>G785</f>
        <v>#DIV/0!</v>
      </c>
      <c r="J874" s="200" t="str">
        <f>IF(H874="-","-",IF(H874&lt;=I874,"OK","NG"))</f>
        <v>-</v>
      </c>
      <c r="K874" s="200" t="str">
        <f>IF(H874="-","-",I874/H874)</f>
        <v>-</v>
      </c>
      <c r="L874" s="131">
        <f>IF(B874&gt;=0,B874+C874,"-")</f>
        <v>10.14801838994179</v>
      </c>
      <c r="M874" s="131">
        <f>L785</f>
        <v>379.49646488731116</v>
      </c>
      <c r="N874" s="457" t="str">
        <f>IF(L874="-","-",IF(L874&lt;=M874,"OK","NG"))</f>
        <v>OK</v>
      </c>
    </row>
    <row r="875">
      <c r="A875" s="182">
        <f>A786</f>
        <v>101</v>
      </c>
      <c r="B875" s="131">
        <f>INPUT!AR52</f>
        <v>0.60695545900194237</v>
      </c>
      <c r="C875" s="131">
        <f>ABS(K223)</f>
        <v>9.5410629309398463</v>
      </c>
      <c r="D875" s="195" t="str">
        <f>IF(B875&gt;=0,"-",-B875+C875)</f>
        <v>-</v>
      </c>
      <c r="E875" s="195">
        <f>D786*N386</f>
        <v>379.49646488731116</v>
      </c>
      <c r="F875" s="195" t="str">
        <f>INPUT!AZ52</f>
        <v>S</v>
      </c>
      <c r="G875" s="200" t="str">
        <f>IF(OR(AND(F875="S",C875=0),D875="-"),"-",IF(D875&lt;=E875,"OK","NG"))</f>
        <v>-</v>
      </c>
      <c r="H875" s="131" t="str">
        <f>IF(B875&gt;=0,"-",-B875+C875/3)</f>
        <v>-</v>
      </c>
      <c r="I875" s="195" t="e">
        <f>G786</f>
        <v>#DIV/0!</v>
      </c>
      <c r="J875" s="200" t="str">
        <f>IF(H875="-","-",IF(H875&lt;=I875,"OK","NG"))</f>
        <v>-</v>
      </c>
      <c r="K875" s="200" t="str">
        <f>IF(H875="-","-",I875/H875)</f>
        <v>-</v>
      </c>
      <c r="L875" s="131">
        <f>IF(B875&gt;=0,B875+C875,"-")</f>
        <v>10.14801838994179</v>
      </c>
      <c r="M875" s="131">
        <f>L786</f>
        <v>379.49646488731116</v>
      </c>
      <c r="N875" s="457" t="str">
        <f>IF(L875="-","-",IF(L875&lt;=M875,"OK","NG"))</f>
        <v>OK</v>
      </c>
    </row>
    <row r="876">
      <c r="A876" s="182">
        <f>A787</f>
        <v>101</v>
      </c>
      <c r="B876" s="131">
        <f>INPUT!AR53</f>
        <v>0.60695545900194237</v>
      </c>
      <c r="C876" s="131">
        <f>ABS(K224)</f>
        <v>9.5410629309398463</v>
      </c>
      <c r="D876" s="195" t="str">
        <f>IF(B876&gt;=0,"-",-B876+C876)</f>
        <v>-</v>
      </c>
      <c r="E876" s="195">
        <f>D787*N387</f>
        <v>379.49646488731116</v>
      </c>
      <c r="F876" s="195" t="str">
        <f>INPUT!AZ53</f>
        <v>S</v>
      </c>
      <c r="G876" s="200" t="str">
        <f>IF(OR(AND(F876="S",C876=0),D876="-"),"-",IF(D876&lt;=E876,"OK","NG"))</f>
        <v>-</v>
      </c>
      <c r="H876" s="131" t="str">
        <f>IF(B876&gt;=0,"-",-B876+C876/3)</f>
        <v>-</v>
      </c>
      <c r="I876" s="195" t="e">
        <f>G787</f>
        <v>#DIV/0!</v>
      </c>
      <c r="J876" s="200" t="str">
        <f>IF(H876="-","-",IF(H876&lt;=I876,"OK","NG"))</f>
        <v>-</v>
      </c>
      <c r="K876" s="200" t="str">
        <f>IF(H876="-","-",I876/H876)</f>
        <v>-</v>
      </c>
      <c r="L876" s="131">
        <f>IF(B876&gt;=0,B876+C876,"-")</f>
        <v>10.14801838994179</v>
      </c>
      <c r="M876" s="131">
        <f>L787</f>
        <v>379.49646488731116</v>
      </c>
      <c r="N876" s="457" t="str">
        <f>IF(L876="-","-",IF(L876&lt;=M876,"OK","NG"))</f>
        <v>OK</v>
      </c>
    </row>
    <row r="877">
      <c r="A877" s="182">
        <f>A788</f>
        <v>101</v>
      </c>
      <c r="B877" s="131">
        <f>INPUT!AR54</f>
        <v>0.60695545900194237</v>
      </c>
      <c r="C877" s="131">
        <f>ABS(K225)</f>
        <v>9.5410629309398463</v>
      </c>
      <c r="D877" s="195" t="str">
        <f>IF(B877&gt;=0,"-",-B877+C877)</f>
        <v>-</v>
      </c>
      <c r="E877" s="195">
        <f>D788*N388</f>
        <v>379.49646488731116</v>
      </c>
      <c r="F877" s="195" t="str">
        <f>INPUT!AZ54</f>
        <v>S</v>
      </c>
      <c r="G877" s="200" t="str">
        <f>IF(OR(AND(F877="S",C877=0),D877="-"),"-",IF(D877&lt;=E877,"OK","NG"))</f>
        <v>-</v>
      </c>
      <c r="H877" s="131" t="str">
        <f>IF(B877&gt;=0,"-",-B877+C877/3)</f>
        <v>-</v>
      </c>
      <c r="I877" s="195" t="e">
        <f>G788</f>
        <v>#DIV/0!</v>
      </c>
      <c r="J877" s="200" t="str">
        <f>IF(H877="-","-",IF(H877&lt;=I877,"OK","NG"))</f>
        <v>-</v>
      </c>
      <c r="K877" s="200" t="str">
        <f>IF(H877="-","-",I877/H877)</f>
        <v>-</v>
      </c>
      <c r="L877" s="131">
        <f>IF(B877&gt;=0,B877+C877,"-")</f>
        <v>10.14801838994179</v>
      </c>
      <c r="M877" s="131">
        <f>L788</f>
        <v>379.49646488731116</v>
      </c>
      <c r="N877" s="457" t="str">
        <f>IF(L877="-","-",IF(L877&lt;=M877,"OK","NG"))</f>
        <v>OK</v>
      </c>
    </row>
    <row r="878">
      <c r="A878" s="182">
        <f>A789</f>
        <v>101</v>
      </c>
      <c r="B878" s="131">
        <f>INPUT!AR55</f>
        <v>0.60695545900194237</v>
      </c>
      <c r="C878" s="131">
        <f>ABS(K226)</f>
        <v>9.5410629309398463</v>
      </c>
      <c r="D878" s="195" t="str">
        <f>IF(B878&gt;=0,"-",-B878+C878)</f>
        <v>-</v>
      </c>
      <c r="E878" s="195">
        <f>D789*N389</f>
        <v>379.49646488731116</v>
      </c>
      <c r="F878" s="195" t="str">
        <f>INPUT!AZ55</f>
        <v>S</v>
      </c>
      <c r="G878" s="200" t="str">
        <f>IF(OR(AND(F878="S",C878=0),D878="-"),"-",IF(D878&lt;=E878,"OK","NG"))</f>
        <v>-</v>
      </c>
      <c r="H878" s="131" t="str">
        <f>IF(B878&gt;=0,"-",-B878+C878/3)</f>
        <v>-</v>
      </c>
      <c r="I878" s="195" t="e">
        <f>G789</f>
        <v>#DIV/0!</v>
      </c>
      <c r="J878" s="200" t="str">
        <f>IF(H878="-","-",IF(H878&lt;=I878,"OK","NG"))</f>
        <v>-</v>
      </c>
      <c r="K878" s="200" t="str">
        <f>IF(H878="-","-",I878/H878)</f>
        <v>-</v>
      </c>
      <c r="L878" s="131">
        <f>IF(B878&gt;=0,B878+C878,"-")</f>
        <v>10.14801838994179</v>
      </c>
      <c r="M878" s="131">
        <f>L789</f>
        <v>379.49646488731116</v>
      </c>
      <c r="N878" s="457" t="str">
        <f>IF(L878="-","-",IF(L878&lt;=M878,"OK","NG"))</f>
        <v>OK</v>
      </c>
    </row>
    <row r="879">
      <c r="A879" s="182">
        <f>A790</f>
        <v>101</v>
      </c>
      <c r="B879" s="131">
        <f>INPUT!AR56</f>
        <v>0.60695545900194237</v>
      </c>
      <c r="C879" s="131">
        <f>ABS(K227)</f>
        <v>9.5410629309398463</v>
      </c>
      <c r="D879" s="195" t="str">
        <f>IF(B879&gt;=0,"-",-B879+C879)</f>
        <v>-</v>
      </c>
      <c r="E879" s="195">
        <f>D790*N390</f>
        <v>379.49646488731116</v>
      </c>
      <c r="F879" s="195" t="str">
        <f>INPUT!AZ56</f>
        <v>S</v>
      </c>
      <c r="G879" s="200" t="str">
        <f>IF(OR(AND(F879="S",C879=0),D879="-"),"-",IF(D879&lt;=E879,"OK","NG"))</f>
        <v>-</v>
      </c>
      <c r="H879" s="131" t="str">
        <f>IF(B879&gt;=0,"-",-B879+C879/3)</f>
        <v>-</v>
      </c>
      <c r="I879" s="195" t="e">
        <f>G790</f>
        <v>#DIV/0!</v>
      </c>
      <c r="J879" s="200" t="str">
        <f>IF(H879="-","-",IF(H879&lt;=I879,"OK","NG"))</f>
        <v>-</v>
      </c>
      <c r="K879" s="200" t="str">
        <f>IF(H879="-","-",I879/H879)</f>
        <v>-</v>
      </c>
      <c r="L879" s="131">
        <f>IF(B879&gt;=0,B879+C879,"-")</f>
        <v>10.14801838994179</v>
      </c>
      <c r="M879" s="131">
        <f>L790</f>
        <v>379.49646488731116</v>
      </c>
      <c r="N879" s="457" t="str">
        <f>IF(L879="-","-",IF(L879&lt;=M879,"OK","NG"))</f>
        <v>OK</v>
      </c>
    </row>
    <row r="880">
      <c r="A880" s="182">
        <f>A791</f>
        <v>101</v>
      </c>
      <c r="B880" s="131">
        <f>INPUT!AR57</f>
        <v>0.60695545900194237</v>
      </c>
      <c r="C880" s="131">
        <f>ABS(K228)</f>
        <v>9.5410629309398463</v>
      </c>
      <c r="D880" s="195" t="str">
        <f>IF(B880&gt;=0,"-",-B880+C880)</f>
        <v>-</v>
      </c>
      <c r="E880" s="195">
        <f>D791*N391</f>
        <v>379.49646488731116</v>
      </c>
      <c r="F880" s="195" t="str">
        <f>INPUT!AZ57</f>
        <v>S</v>
      </c>
      <c r="G880" s="200" t="str">
        <f>IF(OR(AND(F880="S",C880=0),D880="-"),"-",IF(D880&lt;=E880,"OK","NG"))</f>
        <v>-</v>
      </c>
      <c r="H880" s="131" t="str">
        <f>IF(B880&gt;=0,"-",-B880+C880/3)</f>
        <v>-</v>
      </c>
      <c r="I880" s="195" t="e">
        <f>G791</f>
        <v>#DIV/0!</v>
      </c>
      <c r="J880" s="200" t="str">
        <f>IF(H880="-","-",IF(H880&lt;=I880,"OK","NG"))</f>
        <v>-</v>
      </c>
      <c r="K880" s="200" t="str">
        <f>IF(H880="-","-",I880/H880)</f>
        <v>-</v>
      </c>
      <c r="L880" s="131">
        <f>IF(B880&gt;=0,B880+C880,"-")</f>
        <v>10.14801838994179</v>
      </c>
      <c r="M880" s="131">
        <f>L791</f>
        <v>379.49646488731116</v>
      </c>
      <c r="N880" s="457" t="str">
        <f>IF(L880="-","-",IF(L880&lt;=M880,"OK","NG"))</f>
        <v>OK</v>
      </c>
    </row>
    <row r="881">
      <c r="A881" s="182">
        <f>A792</f>
        <v>101</v>
      </c>
      <c r="B881" s="131">
        <f>INPUT!AR58</f>
        <v>0.60695545900194237</v>
      </c>
      <c r="C881" s="131">
        <f>ABS(K229)</f>
        <v>9.5410629309398463</v>
      </c>
      <c r="D881" s="195" t="str">
        <f>IF(B881&gt;=0,"-",-B881+C881)</f>
        <v>-</v>
      </c>
      <c r="E881" s="195">
        <f>D792*N392</f>
        <v>379.49646488731116</v>
      </c>
      <c r="F881" s="195" t="str">
        <f>INPUT!AZ58</f>
        <v>S</v>
      </c>
      <c r="G881" s="200" t="str">
        <f>IF(OR(AND(F881="S",C881=0),D881="-"),"-",IF(D881&lt;=E881,"OK","NG"))</f>
        <v>-</v>
      </c>
      <c r="H881" s="131" t="str">
        <f>IF(B881&gt;=0,"-",-B881+C881/3)</f>
        <v>-</v>
      </c>
      <c r="I881" s="195" t="e">
        <f>G792</f>
        <v>#DIV/0!</v>
      </c>
      <c r="J881" s="200" t="str">
        <f>IF(H881="-","-",IF(H881&lt;=I881,"OK","NG"))</f>
        <v>-</v>
      </c>
      <c r="K881" s="200" t="str">
        <f>IF(H881="-","-",I881/H881)</f>
        <v>-</v>
      </c>
      <c r="L881" s="131">
        <f>IF(B881&gt;=0,B881+C881,"-")</f>
        <v>10.14801838994179</v>
      </c>
      <c r="M881" s="131">
        <f>L792</f>
        <v>379.49646488731116</v>
      </c>
      <c r="N881" s="457" t="str">
        <f>IF(L881="-","-",IF(L881&lt;=M881,"OK","NG"))</f>
        <v>OK</v>
      </c>
    </row>
    <row r="882">
      <c r="A882" s="182">
        <f>A793</f>
        <v>101</v>
      </c>
      <c r="B882" s="131">
        <f>INPUT!AR59</f>
        <v>0.60695545900194237</v>
      </c>
      <c r="C882" s="131">
        <f>ABS(K230)</f>
        <v>9.5410629309398463</v>
      </c>
      <c r="D882" s="195" t="str">
        <f>IF(B882&gt;=0,"-",-B882+C882)</f>
        <v>-</v>
      </c>
      <c r="E882" s="195">
        <f>D793*N393</f>
        <v>379.49646488731116</v>
      </c>
      <c r="F882" s="195" t="str">
        <f>INPUT!AZ59</f>
        <v>S</v>
      </c>
      <c r="G882" s="200" t="str">
        <f>IF(OR(AND(F882="S",C882=0),D882="-"),"-",IF(D882&lt;=E882,"OK","NG"))</f>
        <v>-</v>
      </c>
      <c r="H882" s="131" t="str">
        <f>IF(B882&gt;=0,"-",-B882+C882/3)</f>
        <v>-</v>
      </c>
      <c r="I882" s="195" t="e">
        <f>G793</f>
        <v>#DIV/0!</v>
      </c>
      <c r="J882" s="200" t="str">
        <f>IF(H882="-","-",IF(H882&lt;=I882,"OK","NG"))</f>
        <v>-</v>
      </c>
      <c r="K882" s="200" t="str">
        <f>IF(H882="-","-",I882/H882)</f>
        <v>-</v>
      </c>
      <c r="L882" s="131">
        <f>IF(B882&gt;=0,B882+C882,"-")</f>
        <v>10.14801838994179</v>
      </c>
      <c r="M882" s="131">
        <f>L793</f>
        <v>379.49646488731116</v>
      </c>
      <c r="N882" s="457" t="str">
        <f>IF(L882="-","-",IF(L882&lt;=M882,"OK","NG"))</f>
        <v>OK</v>
      </c>
    </row>
    <row r="883">
      <c r="A883" s="182">
        <f>A794</f>
        <v>101</v>
      </c>
      <c r="B883" s="131">
        <f>INPUT!AR60</f>
        <v>0.60695545900194237</v>
      </c>
      <c r="C883" s="131">
        <f>ABS(K231)</f>
        <v>9.5410629309398463</v>
      </c>
      <c r="D883" s="195" t="str">
        <f>IF(B883&gt;=0,"-",-B883+C883)</f>
        <v>-</v>
      </c>
      <c r="E883" s="195">
        <f>D794*N394</f>
        <v>379.49646488731116</v>
      </c>
      <c r="F883" s="195" t="str">
        <f>INPUT!AZ60</f>
        <v>S</v>
      </c>
      <c r="G883" s="200" t="str">
        <f>IF(OR(AND(F883="S",C883=0),D883="-"),"-",IF(D883&lt;=E883,"OK","NG"))</f>
        <v>-</v>
      </c>
      <c r="H883" s="131" t="str">
        <f>IF(B883&gt;=0,"-",-B883+C883/3)</f>
        <v>-</v>
      </c>
      <c r="I883" s="195" t="e">
        <f>G794</f>
        <v>#DIV/0!</v>
      </c>
      <c r="J883" s="200" t="str">
        <f>IF(H883="-","-",IF(H883&lt;=I883,"OK","NG"))</f>
        <v>-</v>
      </c>
      <c r="K883" s="200" t="str">
        <f>IF(H883="-","-",I883/H883)</f>
        <v>-</v>
      </c>
      <c r="L883" s="131">
        <f>IF(B883&gt;=0,B883+C883,"-")</f>
        <v>10.14801838994179</v>
      </c>
      <c r="M883" s="131">
        <f>L794</f>
        <v>379.49646488731116</v>
      </c>
      <c r="N883" s="457" t="str">
        <f>IF(L883="-","-",IF(L883&lt;=M883,"OK","NG"))</f>
        <v>OK</v>
      </c>
    </row>
    <row r="884">
      <c r="A884" s="182">
        <f>A795</f>
        <v>101</v>
      </c>
      <c r="B884" s="131">
        <f>INPUT!AR61</f>
        <v>0.60695545900194237</v>
      </c>
      <c r="C884" s="131">
        <f>ABS(K232)</f>
        <v>9.5410629309398463</v>
      </c>
      <c r="D884" s="195" t="str">
        <f>IF(B884&gt;=0,"-",-B884+C884)</f>
        <v>-</v>
      </c>
      <c r="E884" s="195">
        <f>D795*N395</f>
        <v>379.49646488731116</v>
      </c>
      <c r="F884" s="195" t="str">
        <f>INPUT!AZ61</f>
        <v>S</v>
      </c>
      <c r="G884" s="200" t="str">
        <f>IF(OR(AND(F884="S",C884=0),D884="-"),"-",IF(D884&lt;=E884,"OK","NG"))</f>
        <v>-</v>
      </c>
      <c r="H884" s="131" t="str">
        <f>IF(B884&gt;=0,"-",-B884+C884/3)</f>
        <v>-</v>
      </c>
      <c r="I884" s="195" t="e">
        <f>G795</f>
        <v>#DIV/0!</v>
      </c>
      <c r="J884" s="200" t="str">
        <f>IF(H884="-","-",IF(H884&lt;=I884,"OK","NG"))</f>
        <v>-</v>
      </c>
      <c r="K884" s="200" t="str">
        <f>IF(H884="-","-",I884/H884)</f>
        <v>-</v>
      </c>
      <c r="L884" s="131">
        <f>IF(B884&gt;=0,B884+C884,"-")</f>
        <v>10.14801838994179</v>
      </c>
      <c r="M884" s="131">
        <f>L795</f>
        <v>379.49646488731116</v>
      </c>
      <c r="N884" s="457" t="str">
        <f>IF(L884="-","-",IF(L884&lt;=M884,"OK","NG"))</f>
        <v>OK</v>
      </c>
    </row>
    <row r="885">
      <c r="A885" s="182">
        <f>A796</f>
        <v>101</v>
      </c>
      <c r="B885" s="131">
        <f>INPUT!AR62</f>
        <v>0.60695545900194237</v>
      </c>
      <c r="C885" s="131">
        <f>ABS(K233)</f>
        <v>9.5410629309398463</v>
      </c>
      <c r="D885" s="195" t="str">
        <f>IF(B885&gt;=0,"-",-B885+C885)</f>
        <v>-</v>
      </c>
      <c r="E885" s="195">
        <f>D796*N396</f>
        <v>379.49646488731116</v>
      </c>
      <c r="F885" s="195" t="str">
        <f>INPUT!AZ62</f>
        <v>S</v>
      </c>
      <c r="G885" s="200" t="str">
        <f>IF(OR(AND(F885="S",C885=0),D885="-"),"-",IF(D885&lt;=E885,"OK","NG"))</f>
        <v>-</v>
      </c>
      <c r="H885" s="131" t="str">
        <f>IF(B885&gt;=0,"-",-B885+C885/3)</f>
        <v>-</v>
      </c>
      <c r="I885" s="195" t="e">
        <f>G796</f>
        <v>#DIV/0!</v>
      </c>
      <c r="J885" s="200" t="str">
        <f>IF(H885="-","-",IF(H885&lt;=I885,"OK","NG"))</f>
        <v>-</v>
      </c>
      <c r="K885" s="200" t="str">
        <f>IF(H885="-","-",I885/H885)</f>
        <v>-</v>
      </c>
      <c r="L885" s="131">
        <f>IF(B885&gt;=0,B885+C885,"-")</f>
        <v>10.14801838994179</v>
      </c>
      <c r="M885" s="131">
        <f>L796</f>
        <v>379.49646488731116</v>
      </c>
      <c r="N885" s="457" t="str">
        <f>IF(L885="-","-",IF(L885&lt;=M885,"OK","NG"))</f>
        <v>OK</v>
      </c>
    </row>
    <row r="886">
      <c r="A886" s="182">
        <f>A797</f>
        <v>101</v>
      </c>
      <c r="B886" s="131">
        <f>INPUT!AR63</f>
        <v>0.60695545900194237</v>
      </c>
      <c r="C886" s="131">
        <f>ABS(K234)</f>
        <v>9.5410629309398463</v>
      </c>
      <c r="D886" s="195" t="str">
        <f>IF(B886&gt;=0,"-",-B886+C886)</f>
        <v>-</v>
      </c>
      <c r="E886" s="195">
        <f>D797*N397</f>
        <v>379.49646488731116</v>
      </c>
      <c r="F886" s="195" t="str">
        <f>INPUT!AZ63</f>
        <v>S</v>
      </c>
      <c r="G886" s="200" t="str">
        <f>IF(OR(AND(F886="S",C886=0),D886="-"),"-",IF(D886&lt;=E886,"OK","NG"))</f>
        <v>-</v>
      </c>
      <c r="H886" s="131" t="str">
        <f>IF(B886&gt;=0,"-",-B886+C886/3)</f>
        <v>-</v>
      </c>
      <c r="I886" s="195" t="e">
        <f>G797</f>
        <v>#DIV/0!</v>
      </c>
      <c r="J886" s="200" t="str">
        <f>IF(H886="-","-",IF(H886&lt;=I886,"OK","NG"))</f>
        <v>-</v>
      </c>
      <c r="K886" s="200" t="str">
        <f>IF(H886="-","-",I886/H886)</f>
        <v>-</v>
      </c>
      <c r="L886" s="131">
        <f>IF(B886&gt;=0,B886+C886,"-")</f>
        <v>10.14801838994179</v>
      </c>
      <c r="M886" s="131">
        <f>L797</f>
        <v>379.49646488731116</v>
      </c>
      <c r="N886" s="457" t="str">
        <f>IF(L886="-","-",IF(L886&lt;=M886,"OK","NG"))</f>
        <v>OK</v>
      </c>
    </row>
    <row r="887">
      <c r="A887" s="182">
        <f>A798</f>
        <v>101</v>
      </c>
      <c r="B887" s="131">
        <f>INPUT!AR64</f>
        <v>0.60695545900194237</v>
      </c>
      <c r="C887" s="131">
        <f>ABS(K235)</f>
        <v>9.5410629309398463</v>
      </c>
      <c r="D887" s="195" t="str">
        <f>IF(B887&gt;=0,"-",-B887+C887)</f>
        <v>-</v>
      </c>
      <c r="E887" s="195">
        <f>D798*N398</f>
        <v>379.49646488731116</v>
      </c>
      <c r="F887" s="195" t="str">
        <f>INPUT!AZ64</f>
        <v>S</v>
      </c>
      <c r="G887" s="200" t="str">
        <f>IF(OR(AND(F887="S",C887=0),D887="-"),"-",IF(D887&lt;=E887,"OK","NG"))</f>
        <v>-</v>
      </c>
      <c r="H887" s="131" t="str">
        <f>IF(B887&gt;=0,"-",-B887+C887/3)</f>
        <v>-</v>
      </c>
      <c r="I887" s="195" t="e">
        <f>G798</f>
        <v>#DIV/0!</v>
      </c>
      <c r="J887" s="200" t="str">
        <f>IF(H887="-","-",IF(H887&lt;=I887,"OK","NG"))</f>
        <v>-</v>
      </c>
      <c r="K887" s="200" t="str">
        <f>IF(H887="-","-",I887/H887)</f>
        <v>-</v>
      </c>
      <c r="L887" s="131">
        <f>IF(B887&gt;=0,B887+C887,"-")</f>
        <v>10.14801838994179</v>
      </c>
      <c r="M887" s="131">
        <f>L798</f>
        <v>379.49646488731116</v>
      </c>
      <c r="N887" s="457" t="str">
        <f>IF(L887="-","-",IF(L887&lt;=M887,"OK","NG"))</f>
        <v>OK</v>
      </c>
    </row>
    <row r="888">
      <c r="A888" s="182">
        <f>A799</f>
        <v>101</v>
      </c>
      <c r="B888" s="131">
        <f>INPUT!AR65</f>
        <v>0.60695545900194237</v>
      </c>
      <c r="C888" s="131">
        <f>ABS(K236)</f>
        <v>9.5410629309398463</v>
      </c>
      <c r="D888" s="195" t="str">
        <f>IF(B888&gt;=0,"-",-B888+C888)</f>
        <v>-</v>
      </c>
      <c r="E888" s="195">
        <f>D799*N399</f>
        <v>379.49646488731116</v>
      </c>
      <c r="F888" s="195" t="str">
        <f>INPUT!AZ65</f>
        <v>S</v>
      </c>
      <c r="G888" s="200" t="str">
        <f>IF(OR(AND(F888="S",C888=0),D888="-"),"-",IF(D888&lt;=E888,"OK","NG"))</f>
        <v>-</v>
      </c>
      <c r="H888" s="131" t="str">
        <f>IF(B888&gt;=0,"-",-B888+C888/3)</f>
        <v>-</v>
      </c>
      <c r="I888" s="195" t="e">
        <f>G799</f>
        <v>#DIV/0!</v>
      </c>
      <c r="J888" s="200" t="str">
        <f>IF(H888="-","-",IF(H888&lt;=I888,"OK","NG"))</f>
        <v>-</v>
      </c>
      <c r="K888" s="200" t="str">
        <f>IF(H888="-","-",I888/H888)</f>
        <v>-</v>
      </c>
      <c r="L888" s="131">
        <f>IF(B888&gt;=0,B888+C888,"-")</f>
        <v>10.14801838994179</v>
      </c>
      <c r="M888" s="131">
        <f>L799</f>
        <v>379.49646488731116</v>
      </c>
      <c r="N888" s="457" t="str">
        <f>IF(L888="-","-",IF(L888&lt;=M888,"OK","NG"))</f>
        <v>OK</v>
      </c>
    </row>
    <row r="889">
      <c r="A889" s="182">
        <f>A800</f>
        <v>101</v>
      </c>
      <c r="B889" s="131">
        <f>INPUT!AR66</f>
        <v>0.60695545900194237</v>
      </c>
      <c r="C889" s="131">
        <f>ABS(K237)</f>
        <v>9.5410629309398463</v>
      </c>
      <c r="D889" s="195" t="str">
        <f>IF(B889&gt;=0,"-",-B889+C889)</f>
        <v>-</v>
      </c>
      <c r="E889" s="195">
        <f>D800*N400</f>
        <v>379.49646488731116</v>
      </c>
      <c r="F889" s="195" t="str">
        <f>INPUT!AZ66</f>
        <v>S</v>
      </c>
      <c r="G889" s="200" t="str">
        <f>IF(OR(AND(F889="S",C889=0),D889="-"),"-",IF(D889&lt;=E889,"OK","NG"))</f>
        <v>-</v>
      </c>
      <c r="H889" s="131" t="str">
        <f>IF(B889&gt;=0,"-",-B889+C889/3)</f>
        <v>-</v>
      </c>
      <c r="I889" s="195" t="e">
        <f>G800</f>
        <v>#DIV/0!</v>
      </c>
      <c r="J889" s="200" t="str">
        <f>IF(H889="-","-",IF(H889&lt;=I889,"OK","NG"))</f>
        <v>-</v>
      </c>
      <c r="K889" s="200" t="str">
        <f>IF(H889="-","-",I889/H889)</f>
        <v>-</v>
      </c>
      <c r="L889" s="131">
        <f>IF(B889&gt;=0,B889+C889,"-")</f>
        <v>10.14801838994179</v>
      </c>
      <c r="M889" s="131">
        <f>L800</f>
        <v>379.49646488731116</v>
      </c>
      <c r="N889" s="457" t="str">
        <f>IF(L889="-","-",IF(L889&lt;=M889,"OK","NG"))</f>
        <v>OK</v>
      </c>
    </row>
    <row r="890">
      <c r="A890" s="182">
        <f>A801</f>
        <v>101</v>
      </c>
      <c r="B890" s="131">
        <f>INPUT!AR67</f>
        <v>0.60695545900194237</v>
      </c>
      <c r="C890" s="131">
        <f>ABS(K238)</f>
        <v>9.5410629309398463</v>
      </c>
      <c r="D890" s="195" t="str">
        <f>IF(B890&gt;=0,"-",-B890+C890)</f>
        <v>-</v>
      </c>
      <c r="E890" s="195">
        <f>D801*N401</f>
        <v>379.49646488731116</v>
      </c>
      <c r="F890" s="195" t="str">
        <f>INPUT!AZ67</f>
        <v>S</v>
      </c>
      <c r="G890" s="200" t="str">
        <f>IF(OR(AND(F890="S",C890=0),D890="-"),"-",IF(D890&lt;=E890,"OK","NG"))</f>
        <v>-</v>
      </c>
      <c r="H890" s="131" t="str">
        <f>IF(B890&gt;=0,"-",-B890+C890/3)</f>
        <v>-</v>
      </c>
      <c r="I890" s="195" t="e">
        <f>G801</f>
        <v>#DIV/0!</v>
      </c>
      <c r="J890" s="200" t="str">
        <f>IF(H890="-","-",IF(H890&lt;=I890,"OK","NG"))</f>
        <v>-</v>
      </c>
      <c r="K890" s="200" t="str">
        <f>IF(H890="-","-",I890/H890)</f>
        <v>-</v>
      </c>
      <c r="L890" s="131">
        <f>IF(B890&gt;=0,B890+C890,"-")</f>
        <v>10.14801838994179</v>
      </c>
      <c r="M890" s="131">
        <f>L801</f>
        <v>379.49646488731116</v>
      </c>
      <c r="N890" s="457" t="str">
        <f>IF(L890="-","-",IF(L890&lt;=M890,"OK","NG"))</f>
        <v>OK</v>
      </c>
    </row>
    <row r="891">
      <c r="A891" s="182">
        <f>A802</f>
        <v>101</v>
      </c>
      <c r="B891" s="131">
        <f>INPUT!AR68</f>
        <v>0.60695545900194237</v>
      </c>
      <c r="C891" s="131">
        <f>ABS(K239)</f>
        <v>9.5410629309398463</v>
      </c>
      <c r="D891" s="195" t="str">
        <f>IF(B891&gt;=0,"-",-B891+C891)</f>
        <v>-</v>
      </c>
      <c r="E891" s="195">
        <f>D802*N402</f>
        <v>379.49646488731116</v>
      </c>
      <c r="F891" s="195" t="str">
        <f>INPUT!AZ68</f>
        <v>S</v>
      </c>
      <c r="G891" s="200" t="str">
        <f>IF(OR(AND(F891="S",C891=0),D891="-"),"-",IF(D891&lt;=E891,"OK","NG"))</f>
        <v>-</v>
      </c>
      <c r="H891" s="131" t="str">
        <f>IF(B891&gt;=0,"-",-B891+C891/3)</f>
        <v>-</v>
      </c>
      <c r="I891" s="195" t="e">
        <f>G802</f>
        <v>#DIV/0!</v>
      </c>
      <c r="J891" s="200" t="str">
        <f>IF(H891="-","-",IF(H891&lt;=I891,"OK","NG"))</f>
        <v>-</v>
      </c>
      <c r="K891" s="200" t="str">
        <f>IF(H891="-","-",I891/H891)</f>
        <v>-</v>
      </c>
      <c r="L891" s="131">
        <f>IF(B891&gt;=0,B891+C891,"-")</f>
        <v>10.14801838994179</v>
      </c>
      <c r="M891" s="131">
        <f>L802</f>
        <v>379.49646488731116</v>
      </c>
      <c r="N891" s="457" t="str">
        <f>IF(L891="-","-",IF(L891&lt;=M891,"OK","NG"))</f>
        <v>OK</v>
      </c>
    </row>
    <row r="892">
      <c r="A892" s="182">
        <f>A803</f>
        <v>101</v>
      </c>
      <c r="B892" s="131">
        <f>INPUT!AR69</f>
        <v>0.60695545900194237</v>
      </c>
      <c r="C892" s="131">
        <f>ABS(K240)</f>
        <v>9.5410629309398463</v>
      </c>
      <c r="D892" s="195" t="str">
        <f>IF(B892&gt;=0,"-",-B892+C892)</f>
        <v>-</v>
      </c>
      <c r="E892" s="195">
        <f>D803*N403</f>
        <v>379.49646488731116</v>
      </c>
      <c r="F892" s="195" t="str">
        <f>INPUT!AZ69</f>
        <v>S</v>
      </c>
      <c r="G892" s="200" t="str">
        <f>IF(OR(AND(F892="S",C892=0),D892="-"),"-",IF(D892&lt;=E892,"OK","NG"))</f>
        <v>-</v>
      </c>
      <c r="H892" s="131" t="str">
        <f>IF(B892&gt;=0,"-",-B892+C892/3)</f>
        <v>-</v>
      </c>
      <c r="I892" s="195" t="e">
        <f>G803</f>
        <v>#DIV/0!</v>
      </c>
      <c r="J892" s="200" t="str">
        <f>IF(H892="-","-",IF(H892&lt;=I892,"OK","NG"))</f>
        <v>-</v>
      </c>
      <c r="K892" s="200" t="str">
        <f>IF(H892="-","-",I892/H892)</f>
        <v>-</v>
      </c>
      <c r="L892" s="131">
        <f>IF(B892&gt;=0,B892+C892,"-")</f>
        <v>10.14801838994179</v>
      </c>
      <c r="M892" s="131">
        <f>L803</f>
        <v>379.49646488731116</v>
      </c>
      <c r="N892" s="457" t="str">
        <f>IF(L892="-","-",IF(L892&lt;=M892,"OK","NG"))</f>
        <v>OK</v>
      </c>
    </row>
    <row r="893">
      <c r="A893" s="182">
        <f>A804</f>
        <v>101</v>
      </c>
      <c r="B893" s="131">
        <f>INPUT!AR70</f>
        <v>0.60695545900194237</v>
      </c>
      <c r="C893" s="131">
        <f>ABS(K241)</f>
        <v>9.5410629309398463</v>
      </c>
      <c r="D893" s="195" t="str">
        <f>IF(B893&gt;=0,"-",-B893+C893)</f>
        <v>-</v>
      </c>
      <c r="E893" s="195">
        <f>D804*N404</f>
        <v>379.49646488731116</v>
      </c>
      <c r="F893" s="195" t="str">
        <f>INPUT!AZ70</f>
        <v>S</v>
      </c>
      <c r="G893" s="200" t="str">
        <f>IF(OR(AND(F893="S",C893=0),D893="-"),"-",IF(D893&lt;=E893,"OK","NG"))</f>
        <v>-</v>
      </c>
      <c r="H893" s="131" t="str">
        <f>IF(B893&gt;=0,"-",-B893+C893/3)</f>
        <v>-</v>
      </c>
      <c r="I893" s="195" t="e">
        <f>G804</f>
        <v>#DIV/0!</v>
      </c>
      <c r="J893" s="200" t="str">
        <f>IF(H893="-","-",IF(H893&lt;=I893,"OK","NG"))</f>
        <v>-</v>
      </c>
      <c r="K893" s="200" t="str">
        <f>IF(H893="-","-",I893/H893)</f>
        <v>-</v>
      </c>
      <c r="L893" s="131">
        <f>IF(B893&gt;=0,B893+C893,"-")</f>
        <v>10.14801838994179</v>
      </c>
      <c r="M893" s="131">
        <f>L804</f>
        <v>379.49646488731116</v>
      </c>
      <c r="N893" s="457" t="str">
        <f>IF(L893="-","-",IF(L893&lt;=M893,"OK","NG"))</f>
        <v>OK</v>
      </c>
    </row>
    <row r="894">
      <c r="A894" s="182">
        <f>A805</f>
        <v>101</v>
      </c>
      <c r="B894" s="131">
        <f>INPUT!AR71</f>
        <v>0.60695545900194237</v>
      </c>
      <c r="C894" s="131">
        <f>ABS(K242)</f>
        <v>9.5410629309398463</v>
      </c>
      <c r="D894" s="195" t="str">
        <f>IF(B894&gt;=0,"-",-B894+C894)</f>
        <v>-</v>
      </c>
      <c r="E894" s="195">
        <f>D805*N405</f>
        <v>379.49646488731116</v>
      </c>
      <c r="F894" s="195" t="str">
        <f>INPUT!AZ71</f>
        <v>S</v>
      </c>
      <c r="G894" s="200" t="str">
        <f>IF(OR(AND(F894="S",C894=0),D894="-"),"-",IF(D894&lt;=E894,"OK","NG"))</f>
        <v>-</v>
      </c>
      <c r="H894" s="131" t="str">
        <f>IF(B894&gt;=0,"-",-B894+C894/3)</f>
        <v>-</v>
      </c>
      <c r="I894" s="195" t="e">
        <f>G805</f>
        <v>#DIV/0!</v>
      </c>
      <c r="J894" s="200" t="str">
        <f>IF(H894="-","-",IF(H894&lt;=I894,"OK","NG"))</f>
        <v>-</v>
      </c>
      <c r="K894" s="200" t="str">
        <f>IF(H894="-","-",I894/H894)</f>
        <v>-</v>
      </c>
      <c r="L894" s="131">
        <f>IF(B894&gt;=0,B894+C894,"-")</f>
        <v>10.14801838994179</v>
      </c>
      <c r="M894" s="131">
        <f>L805</f>
        <v>379.49646488731116</v>
      </c>
      <c r="N894" s="457" t="str">
        <f>IF(L894="-","-",IF(L894&lt;=M894,"OK","NG"))</f>
        <v>OK</v>
      </c>
    </row>
    <row r="895">
      <c r="A895" s="182">
        <f>A806</f>
        <v>101</v>
      </c>
      <c r="B895" s="131">
        <f>INPUT!AR72</f>
        <v>0.60695545900194237</v>
      </c>
      <c r="C895" s="131">
        <f>ABS(K243)</f>
        <v>9.5410629309398463</v>
      </c>
      <c r="D895" s="195" t="str">
        <f>IF(B895&gt;=0,"-",-B895+C895)</f>
        <v>-</v>
      </c>
      <c r="E895" s="195">
        <f>D806*N406</f>
        <v>379.49646488731116</v>
      </c>
      <c r="F895" s="195" t="str">
        <f>INPUT!AZ72</f>
        <v>S</v>
      </c>
      <c r="G895" s="200" t="str">
        <f>IF(OR(AND(F895="S",C895=0),D895="-"),"-",IF(D895&lt;=E895,"OK","NG"))</f>
        <v>-</v>
      </c>
      <c r="H895" s="131" t="str">
        <f>IF(B895&gt;=0,"-",-B895+C895/3)</f>
        <v>-</v>
      </c>
      <c r="I895" s="195" t="e">
        <f>G806</f>
        <v>#DIV/0!</v>
      </c>
      <c r="J895" s="200" t="str">
        <f>IF(H895="-","-",IF(H895&lt;=I895,"OK","NG"))</f>
        <v>-</v>
      </c>
      <c r="K895" s="200" t="str">
        <f>IF(H895="-","-",I895/H895)</f>
        <v>-</v>
      </c>
      <c r="L895" s="131">
        <f>IF(B895&gt;=0,B895+C895,"-")</f>
        <v>10.14801838994179</v>
      </c>
      <c r="M895" s="131">
        <f>L806</f>
        <v>379.49646488731116</v>
      </c>
      <c r="N895" s="457" t="str">
        <f>IF(L895="-","-",IF(L895&lt;=M895,"OK","NG"))</f>
        <v>OK</v>
      </c>
    </row>
    <row r="896">
      <c r="A896" s="182">
        <f>A807</f>
        <v>101</v>
      </c>
      <c r="B896" s="131">
        <f>INPUT!AR73</f>
        <v>0.60695545900194237</v>
      </c>
      <c r="C896" s="131">
        <f>ABS(K244)</f>
        <v>9.5410629309398463</v>
      </c>
      <c r="D896" s="195" t="str">
        <f>IF(B896&gt;=0,"-",-B896+C896)</f>
        <v>-</v>
      </c>
      <c r="E896" s="195">
        <f>D807*N407</f>
        <v>379.49646488731116</v>
      </c>
      <c r="F896" s="195" t="str">
        <f>INPUT!AZ73</f>
        <v>S</v>
      </c>
      <c r="G896" s="200" t="str">
        <f>IF(OR(AND(F896="S",C896=0),D896="-"),"-",IF(D896&lt;=E896,"OK","NG"))</f>
        <v>-</v>
      </c>
      <c r="H896" s="131" t="str">
        <f>IF(B896&gt;=0,"-",-B896+C896/3)</f>
        <v>-</v>
      </c>
      <c r="I896" s="195" t="e">
        <f>G807</f>
        <v>#DIV/0!</v>
      </c>
      <c r="J896" s="200" t="str">
        <f>IF(H896="-","-",IF(H896&lt;=I896,"OK","NG"))</f>
        <v>-</v>
      </c>
      <c r="K896" s="200" t="str">
        <f>IF(H896="-","-",I896/H896)</f>
        <v>-</v>
      </c>
      <c r="L896" s="131">
        <f>IF(B896&gt;=0,B896+C896,"-")</f>
        <v>10.14801838994179</v>
      </c>
      <c r="M896" s="131">
        <f>L807</f>
        <v>379.49646488731116</v>
      </c>
      <c r="N896" s="457" t="str">
        <f>IF(L896="-","-",IF(L896&lt;=M896,"OK","NG"))</f>
        <v>OK</v>
      </c>
    </row>
    <row r="897">
      <c r="A897" s="182">
        <f>A808</f>
        <v>101</v>
      </c>
      <c r="B897" s="131">
        <f>INPUT!AR74</f>
        <v>0.60695545900194237</v>
      </c>
      <c r="C897" s="131">
        <f>ABS(K245)</f>
        <v>9.5410629309398463</v>
      </c>
      <c r="D897" s="195" t="str">
        <f>IF(B897&gt;=0,"-",-B897+C897)</f>
        <v>-</v>
      </c>
      <c r="E897" s="195">
        <f>D808*N408</f>
        <v>379.49646488731116</v>
      </c>
      <c r="F897" s="195" t="str">
        <f>INPUT!AZ74</f>
        <v>S</v>
      </c>
      <c r="G897" s="200" t="str">
        <f>IF(OR(AND(F897="S",C897=0),D897="-"),"-",IF(D897&lt;=E897,"OK","NG"))</f>
        <v>-</v>
      </c>
      <c r="H897" s="131" t="str">
        <f>IF(B897&gt;=0,"-",-B897+C897/3)</f>
        <v>-</v>
      </c>
      <c r="I897" s="195" t="e">
        <f>G808</f>
        <v>#DIV/0!</v>
      </c>
      <c r="J897" s="200" t="str">
        <f>IF(H897="-","-",IF(H897&lt;=I897,"OK","NG"))</f>
        <v>-</v>
      </c>
      <c r="K897" s="200" t="str">
        <f>IF(H897="-","-",I897/H897)</f>
        <v>-</v>
      </c>
      <c r="L897" s="131">
        <f>IF(B897&gt;=0,B897+C897,"-")</f>
        <v>10.14801838994179</v>
      </c>
      <c r="M897" s="131">
        <f>L808</f>
        <v>379.49646488731116</v>
      </c>
      <c r="N897" s="457" t="str">
        <f>IF(L897="-","-",IF(L897&lt;=M897,"OK","NG"))</f>
        <v>OK</v>
      </c>
    </row>
    <row r="898">
      <c r="A898" s="182">
        <f>A809</f>
        <v>101</v>
      </c>
      <c r="B898" s="131">
        <f>INPUT!AR75</f>
        <v>0.60695545900194237</v>
      </c>
      <c r="C898" s="131">
        <f>ABS(K246)</f>
        <v>9.5410629309398463</v>
      </c>
      <c r="D898" s="195" t="str">
        <f>IF(B898&gt;=0,"-",-B898+C898)</f>
        <v>-</v>
      </c>
      <c r="E898" s="195">
        <f>D809*N409</f>
        <v>379.49646488731116</v>
      </c>
      <c r="F898" s="195" t="str">
        <f>INPUT!AZ75</f>
        <v>S</v>
      </c>
      <c r="G898" s="200" t="str">
        <f>IF(OR(AND(F898="S",C898=0),D898="-"),"-",IF(D898&lt;=E898,"OK","NG"))</f>
        <v>-</v>
      </c>
      <c r="H898" s="131" t="str">
        <f>IF(B898&gt;=0,"-",-B898+C898/3)</f>
        <v>-</v>
      </c>
      <c r="I898" s="195" t="e">
        <f>G809</f>
        <v>#DIV/0!</v>
      </c>
      <c r="J898" s="200" t="str">
        <f>IF(H898="-","-",IF(H898&lt;=I898,"OK","NG"))</f>
        <v>-</v>
      </c>
      <c r="K898" s="200" t="str">
        <f>IF(H898="-","-",I898/H898)</f>
        <v>-</v>
      </c>
      <c r="L898" s="131">
        <f>IF(B898&gt;=0,B898+C898,"-")</f>
        <v>10.14801838994179</v>
      </c>
      <c r="M898" s="131">
        <f>L809</f>
        <v>379.49646488731116</v>
      </c>
      <c r="N898" s="457" t="str">
        <f>IF(L898="-","-",IF(L898&lt;=M898,"OK","NG"))</f>
        <v>OK</v>
      </c>
    </row>
    <row r="899">
      <c r="A899" s="182">
        <f>A810</f>
        <v>101</v>
      </c>
      <c r="B899" s="131">
        <f>INPUT!AR76</f>
        <v>0.60695545900194237</v>
      </c>
      <c r="C899" s="131">
        <f>ABS(K247)</f>
        <v>9.5410629309398463</v>
      </c>
      <c r="D899" s="195" t="str">
        <f>IF(B899&gt;=0,"-",-B899+C899)</f>
        <v>-</v>
      </c>
      <c r="E899" s="195">
        <f>D810*N410</f>
        <v>379.49646488731116</v>
      </c>
      <c r="F899" s="195" t="str">
        <f>INPUT!AZ76</f>
        <v>S</v>
      </c>
      <c r="G899" s="200" t="str">
        <f>IF(OR(AND(F899="S",C899=0),D899="-"),"-",IF(D899&lt;=E899,"OK","NG"))</f>
        <v>-</v>
      </c>
      <c r="H899" s="131" t="str">
        <f>IF(B899&gt;=0,"-",-B899+C899/3)</f>
        <v>-</v>
      </c>
      <c r="I899" s="195" t="e">
        <f>G810</f>
        <v>#DIV/0!</v>
      </c>
      <c r="J899" s="200" t="str">
        <f>IF(H899="-","-",IF(H899&lt;=I899,"OK","NG"))</f>
        <v>-</v>
      </c>
      <c r="K899" s="200" t="str">
        <f>IF(H899="-","-",I899/H899)</f>
        <v>-</v>
      </c>
      <c r="L899" s="131">
        <f>IF(B899&gt;=0,B899+C899,"-")</f>
        <v>10.14801838994179</v>
      </c>
      <c r="M899" s="131">
        <f>L810</f>
        <v>379.49646488731116</v>
      </c>
      <c r="N899" s="457" t="str">
        <f>IF(L899="-","-",IF(L899&lt;=M899,"OK","NG"))</f>
        <v>OK</v>
      </c>
    </row>
    <row r="900">
      <c r="A900" s="182">
        <f>A811</f>
        <v>101</v>
      </c>
      <c r="B900" s="131">
        <f>INPUT!AR77</f>
        <v>0.60695545900194237</v>
      </c>
      <c r="C900" s="131">
        <f>ABS(K248)</f>
        <v>9.5410629309398463</v>
      </c>
      <c r="D900" s="195" t="str">
        <f>IF(B900&gt;=0,"-",-B900+C900)</f>
        <v>-</v>
      </c>
      <c r="E900" s="195">
        <f>D811*N411</f>
        <v>379.49646488731116</v>
      </c>
      <c r="F900" s="195" t="str">
        <f>INPUT!AZ77</f>
        <v>S</v>
      </c>
      <c r="G900" s="200" t="str">
        <f>IF(OR(AND(F900="S",C900=0),D900="-"),"-",IF(D900&lt;=E900,"OK","NG"))</f>
        <v>-</v>
      </c>
      <c r="H900" s="131" t="str">
        <f>IF(B900&gt;=0,"-",-B900+C900/3)</f>
        <v>-</v>
      </c>
      <c r="I900" s="195" t="e">
        <f>G811</f>
        <v>#DIV/0!</v>
      </c>
      <c r="J900" s="200" t="str">
        <f>IF(H900="-","-",IF(H900&lt;=I900,"OK","NG"))</f>
        <v>-</v>
      </c>
      <c r="K900" s="200" t="str">
        <f>IF(H900="-","-",I900/H900)</f>
        <v>-</v>
      </c>
      <c r="L900" s="131">
        <f>IF(B900&gt;=0,B900+C900,"-")</f>
        <v>10.14801838994179</v>
      </c>
      <c r="M900" s="131">
        <f>L811</f>
        <v>379.49646488731116</v>
      </c>
      <c r="N900" s="457" t="str">
        <f>IF(L900="-","-",IF(L900&lt;=M900,"OK","NG"))</f>
        <v>OK</v>
      </c>
    </row>
    <row r="901">
      <c r="A901" s="182">
        <f>A812</f>
        <v>101</v>
      </c>
      <c r="B901" s="131">
        <f>INPUT!AR78</f>
        <v>0.60695545900194237</v>
      </c>
      <c r="C901" s="131">
        <f>ABS(K249)</f>
        <v>9.5410629309398463</v>
      </c>
      <c r="D901" s="195" t="str">
        <f>IF(B901&gt;=0,"-",-B901+C901)</f>
        <v>-</v>
      </c>
      <c r="E901" s="195">
        <f>D812*N412</f>
        <v>379.49646488731116</v>
      </c>
      <c r="F901" s="195" t="str">
        <f>INPUT!AZ78</f>
        <v>S</v>
      </c>
      <c r="G901" s="200" t="str">
        <f>IF(OR(AND(F901="S",C901=0),D901="-"),"-",IF(D901&lt;=E901,"OK","NG"))</f>
        <v>-</v>
      </c>
      <c r="H901" s="131" t="str">
        <f>IF(B901&gt;=0,"-",-B901+C901/3)</f>
        <v>-</v>
      </c>
      <c r="I901" s="195" t="e">
        <f>G812</f>
        <v>#DIV/0!</v>
      </c>
      <c r="J901" s="200" t="str">
        <f>IF(H901="-","-",IF(H901&lt;=I901,"OK","NG"))</f>
        <v>-</v>
      </c>
      <c r="K901" s="200" t="str">
        <f>IF(H901="-","-",I901/H901)</f>
        <v>-</v>
      </c>
      <c r="L901" s="131">
        <f>IF(B901&gt;=0,B901+C901,"-")</f>
        <v>10.14801838994179</v>
      </c>
      <c r="M901" s="131">
        <f>L812</f>
        <v>379.49646488731116</v>
      </c>
      <c r="N901" s="457" t="str">
        <f>IF(L901="-","-",IF(L901&lt;=M901,"OK","NG"))</f>
        <v>OK</v>
      </c>
    </row>
    <row r="902" ht="15" customHeight="1">
      <c r="A902" s="399"/>
      <c r="B902" s="458"/>
      <c r="C902" s="458"/>
      <c r="D902" s="459"/>
      <c r="E902" s="458"/>
      <c r="F902" s="459"/>
      <c r="G902" s="458"/>
      <c r="H902" s="458"/>
      <c r="I902" s="460"/>
      <c r="J902" s="461"/>
      <c r="K902" s="458"/>
      <c r="L902" s="458"/>
      <c r="M902" s="460"/>
      <c r="N902" s="460"/>
    </row>
    <row r="903" ht="15" customHeight="1">
      <c r="A903" s="59" t="s">
        <v>442</v>
      </c>
      <c r="B903" s="447"/>
      <c r="C903" s="447"/>
      <c r="D903" s="447"/>
      <c r="E903" s="133"/>
      <c r="F903" s="133"/>
      <c r="G903" s="133"/>
      <c r="H903" s="133"/>
      <c r="I903" s="138"/>
      <c r="J903" s="138"/>
      <c r="K903" s="447"/>
      <c r="L903" s="447"/>
      <c r="M903" s="133"/>
      <c r="N903" s="133"/>
    </row>
    <row r="904" ht="15" customHeight="1">
      <c r="A904" s="72" t="s">
        <v>230</v>
      </c>
      <c r="B904" s="73" t="s">
        <v>431</v>
      </c>
      <c r="C904" s="511" t="s">
        <v>443</v>
      </c>
      <c r="D904" s="511"/>
      <c r="E904" s="511"/>
      <c r="F904" s="511"/>
      <c r="G904" s="512" t="s">
        <v>444</v>
      </c>
      <c r="H904" s="513"/>
      <c r="I904" s="513"/>
      <c r="J904" s="514"/>
    </row>
    <row r="905" ht="15" customHeight="1">
      <c r="A905" s="75"/>
      <c r="B905" s="150"/>
      <c r="C905" s="448" t="s">
        <v>431</v>
      </c>
      <c r="D905" s="456" t="s">
        <v>440</v>
      </c>
      <c r="E905" s="150" t="s">
        <v>246</v>
      </c>
      <c r="F905" s="150" t="s">
        <v>247</v>
      </c>
      <c r="G905" s="338" t="s">
        <v>431</v>
      </c>
      <c r="H905" s="462" t="s">
        <v>441</v>
      </c>
      <c r="I905" s="463" t="s">
        <v>246</v>
      </c>
      <c r="J905" s="464" t="s">
        <v>247</v>
      </c>
    </row>
    <row r="906" ht="15" customHeight="1">
      <c r="A906" s="182">
        <f>A826</f>
        <v>101</v>
      </c>
      <c r="B906" s="131">
        <f>INPUT!AS3</f>
        <v>-0.5613011256267133</v>
      </c>
      <c r="C906" s="131">
        <f>IF(B906&gt;=0,"-",-B906)</f>
        <v>0.5613011256267133</v>
      </c>
      <c r="D906" s="195" t="e">
        <f>G737</f>
        <v>#DIV/0!</v>
      </c>
      <c r="E906" s="200" t="e">
        <f>IF(C906="-","-",IF(C906&lt;=D906,"OK","NG"))</f>
        <v>#DIV/0!</v>
      </c>
      <c r="F906" s="200" t="e">
        <f>IF(C906="-","-",D906/C906)</f>
        <v>#DIV/0!</v>
      </c>
      <c r="G906" s="131" t="str">
        <f>IF(B906&gt;=0,B906,"-")</f>
        <v>-</v>
      </c>
      <c r="H906" s="131">
        <f>L737</f>
        <v>379.49646488731116</v>
      </c>
      <c r="I906" s="200" t="str">
        <f>IF(G906="-","-",IF(G906&lt;=H906,"OK","NG"))</f>
        <v>-</v>
      </c>
      <c r="J906" s="203" t="str">
        <f>IF(G906="-","-",H906/G906)</f>
        <v>-</v>
      </c>
    </row>
    <row r="907">
      <c r="A907" s="182">
        <f>A827</f>
        <v>101</v>
      </c>
      <c r="B907" s="131">
        <f>INPUT!AS4</f>
        <v>-0.5613011256267133</v>
      </c>
      <c r="C907" s="131">
        <f>IF(B907&gt;=0,"-",-B907)</f>
        <v>0.5613011256267133</v>
      </c>
      <c r="D907" s="195" t="e">
        <f>G738</f>
        <v>#DIV/0!</v>
      </c>
      <c r="E907" s="200" t="e">
        <f>IF(C907="-","-",IF(C907&lt;=D907,"OK","NG"))</f>
        <v>#DIV/0!</v>
      </c>
      <c r="F907" s="200" t="e">
        <f>IF(C907="-","-",D907/C907)</f>
        <v>#DIV/0!</v>
      </c>
      <c r="G907" s="131" t="str">
        <f>IF(B907&gt;=0,B907,"-")</f>
        <v>-</v>
      </c>
      <c r="H907" s="131">
        <f>L738</f>
        <v>379.49646488731116</v>
      </c>
      <c r="I907" s="200" t="str">
        <f>IF(G907="-","-",IF(G907&lt;=H907,"OK","NG"))</f>
        <v>-</v>
      </c>
      <c r="J907" s="203" t="str">
        <f>IF(G907="-","-",H907/G907)</f>
        <v>-</v>
      </c>
    </row>
    <row r="908">
      <c r="A908" s="182">
        <f>A828</f>
        <v>101</v>
      </c>
      <c r="B908" s="131">
        <f>INPUT!AS5</f>
        <v>-0.5613011256267133</v>
      </c>
      <c r="C908" s="131">
        <f>IF(B908&gt;=0,"-",-B908)</f>
        <v>0.5613011256267133</v>
      </c>
      <c r="D908" s="195" t="e">
        <f>G739</f>
        <v>#DIV/0!</v>
      </c>
      <c r="E908" s="200" t="e">
        <f>IF(C908="-","-",IF(C908&lt;=D908,"OK","NG"))</f>
        <v>#DIV/0!</v>
      </c>
      <c r="F908" s="200" t="e">
        <f>IF(C908="-","-",D908/C908)</f>
        <v>#DIV/0!</v>
      </c>
      <c r="G908" s="131" t="str">
        <f>IF(B908&gt;=0,B908,"-")</f>
        <v>-</v>
      </c>
      <c r="H908" s="131">
        <f>L739</f>
        <v>379.49646488731116</v>
      </c>
      <c r="I908" s="200" t="str">
        <f>IF(G908="-","-",IF(G908&lt;=H908,"OK","NG"))</f>
        <v>-</v>
      </c>
      <c r="J908" s="203" t="str">
        <f>IF(G908="-","-",H908/G908)</f>
        <v>-</v>
      </c>
    </row>
    <row r="909">
      <c r="A909" s="182">
        <f>A829</f>
        <v>101</v>
      </c>
      <c r="B909" s="131">
        <f>INPUT!AS6</f>
        <v>-0.5613011256267133</v>
      </c>
      <c r="C909" s="131">
        <f>IF(B909&gt;=0,"-",-B909)</f>
        <v>0.5613011256267133</v>
      </c>
      <c r="D909" s="195" t="e">
        <f>G740</f>
        <v>#DIV/0!</v>
      </c>
      <c r="E909" s="200" t="e">
        <f>IF(C909="-","-",IF(C909&lt;=D909,"OK","NG"))</f>
        <v>#DIV/0!</v>
      </c>
      <c r="F909" s="200" t="e">
        <f>IF(C909="-","-",D909/C909)</f>
        <v>#DIV/0!</v>
      </c>
      <c r="G909" s="131" t="str">
        <f>IF(B909&gt;=0,B909,"-")</f>
        <v>-</v>
      </c>
      <c r="H909" s="131">
        <f>L740</f>
        <v>379.49646488731116</v>
      </c>
      <c r="I909" s="200" t="str">
        <f>IF(G909="-","-",IF(G909&lt;=H909,"OK","NG"))</f>
        <v>-</v>
      </c>
      <c r="J909" s="203" t="str">
        <f>IF(G909="-","-",H909/G909)</f>
        <v>-</v>
      </c>
    </row>
    <row r="910">
      <c r="A910" s="182">
        <f>A830</f>
        <v>101</v>
      </c>
      <c r="B910" s="131">
        <f>INPUT!AS7</f>
        <v>-0.5613011256267133</v>
      </c>
      <c r="C910" s="131">
        <f>IF(B910&gt;=0,"-",-B910)</f>
        <v>0.5613011256267133</v>
      </c>
      <c r="D910" s="195" t="e">
        <f>G741</f>
        <v>#DIV/0!</v>
      </c>
      <c r="E910" s="200" t="e">
        <f>IF(C910="-","-",IF(C910&lt;=D910,"OK","NG"))</f>
        <v>#DIV/0!</v>
      </c>
      <c r="F910" s="200" t="e">
        <f>IF(C910="-","-",D910/C910)</f>
        <v>#DIV/0!</v>
      </c>
      <c r="G910" s="131" t="str">
        <f>IF(B910&gt;=0,B910,"-")</f>
        <v>-</v>
      </c>
      <c r="H910" s="131">
        <f>L741</f>
        <v>379.49646488731116</v>
      </c>
      <c r="I910" s="200" t="str">
        <f>IF(G910="-","-",IF(G910&lt;=H910,"OK","NG"))</f>
        <v>-</v>
      </c>
      <c r="J910" s="203" t="str">
        <f>IF(G910="-","-",H910/G910)</f>
        <v>-</v>
      </c>
    </row>
    <row r="911">
      <c r="A911" s="182">
        <f>A831</f>
        <v>101</v>
      </c>
      <c r="B911" s="131">
        <f>INPUT!AS8</f>
        <v>-0.5613011256267133</v>
      </c>
      <c r="C911" s="131">
        <f>IF(B911&gt;=0,"-",-B911)</f>
        <v>0.5613011256267133</v>
      </c>
      <c r="D911" s="195" t="e">
        <f>G742</f>
        <v>#DIV/0!</v>
      </c>
      <c r="E911" s="200" t="e">
        <f>IF(C911="-","-",IF(C911&lt;=D911,"OK","NG"))</f>
        <v>#DIV/0!</v>
      </c>
      <c r="F911" s="200" t="e">
        <f>IF(C911="-","-",D911/C911)</f>
        <v>#DIV/0!</v>
      </c>
      <c r="G911" s="131" t="str">
        <f>IF(B911&gt;=0,B911,"-")</f>
        <v>-</v>
      </c>
      <c r="H911" s="131">
        <f>L742</f>
        <v>379.49646488731116</v>
      </c>
      <c r="I911" s="200" t="str">
        <f>IF(G911="-","-",IF(G911&lt;=H911,"OK","NG"))</f>
        <v>-</v>
      </c>
      <c r="J911" s="203" t="str">
        <f>IF(G911="-","-",H911/G911)</f>
        <v>-</v>
      </c>
    </row>
    <row r="912">
      <c r="A912" s="182">
        <f>A832</f>
        <v>101</v>
      </c>
      <c r="B912" s="131">
        <f>INPUT!AS9</f>
        <v>-0.5613011256267133</v>
      </c>
      <c r="C912" s="131">
        <f>IF(B912&gt;=0,"-",-B912)</f>
        <v>0.5613011256267133</v>
      </c>
      <c r="D912" s="195" t="e">
        <f>G743</f>
        <v>#DIV/0!</v>
      </c>
      <c r="E912" s="200" t="e">
        <f>IF(C912="-","-",IF(C912&lt;=D912,"OK","NG"))</f>
        <v>#DIV/0!</v>
      </c>
      <c r="F912" s="200" t="e">
        <f>IF(C912="-","-",D912/C912)</f>
        <v>#DIV/0!</v>
      </c>
      <c r="G912" s="131" t="str">
        <f>IF(B912&gt;=0,B912,"-")</f>
        <v>-</v>
      </c>
      <c r="H912" s="131">
        <f>L743</f>
        <v>379.49646488731116</v>
      </c>
      <c r="I912" s="200" t="str">
        <f>IF(G912="-","-",IF(G912&lt;=H912,"OK","NG"))</f>
        <v>-</v>
      </c>
      <c r="J912" s="203" t="str">
        <f>IF(G912="-","-",H912/G912)</f>
        <v>-</v>
      </c>
    </row>
    <row r="913">
      <c r="A913" s="182">
        <f>A833</f>
        <v>101</v>
      </c>
      <c r="B913" s="131">
        <f>INPUT!AS10</f>
        <v>-0.5613011256267133</v>
      </c>
      <c r="C913" s="131">
        <f>IF(B913&gt;=0,"-",-B913)</f>
        <v>0.5613011256267133</v>
      </c>
      <c r="D913" s="195" t="e">
        <f>G744</f>
        <v>#DIV/0!</v>
      </c>
      <c r="E913" s="200" t="e">
        <f>IF(C913="-","-",IF(C913&lt;=D913,"OK","NG"))</f>
        <v>#DIV/0!</v>
      </c>
      <c r="F913" s="200" t="e">
        <f>IF(C913="-","-",D913/C913)</f>
        <v>#DIV/0!</v>
      </c>
      <c r="G913" s="131" t="str">
        <f>IF(B913&gt;=0,B913,"-")</f>
        <v>-</v>
      </c>
      <c r="H913" s="131">
        <f>L744</f>
        <v>379.49646488731116</v>
      </c>
      <c r="I913" s="200" t="str">
        <f>IF(G913="-","-",IF(G913&lt;=H913,"OK","NG"))</f>
        <v>-</v>
      </c>
      <c r="J913" s="203" t="str">
        <f>IF(G913="-","-",H913/G913)</f>
        <v>-</v>
      </c>
    </row>
    <row r="914">
      <c r="A914" s="182">
        <f>A834</f>
        <v>101</v>
      </c>
      <c r="B914" s="131">
        <f>INPUT!AS11</f>
        <v>-0.5613011256267133</v>
      </c>
      <c r="C914" s="131">
        <f>IF(B914&gt;=0,"-",-B914)</f>
        <v>0.5613011256267133</v>
      </c>
      <c r="D914" s="195" t="e">
        <f>G745</f>
        <v>#DIV/0!</v>
      </c>
      <c r="E914" s="200" t="e">
        <f>IF(C914="-","-",IF(C914&lt;=D914,"OK","NG"))</f>
        <v>#DIV/0!</v>
      </c>
      <c r="F914" s="200" t="e">
        <f>IF(C914="-","-",D914/C914)</f>
        <v>#DIV/0!</v>
      </c>
      <c r="G914" s="131" t="str">
        <f>IF(B914&gt;=0,B914,"-")</f>
        <v>-</v>
      </c>
      <c r="H914" s="131">
        <f>L745</f>
        <v>379.49646488731116</v>
      </c>
      <c r="I914" s="200" t="str">
        <f>IF(G914="-","-",IF(G914&lt;=H914,"OK","NG"))</f>
        <v>-</v>
      </c>
      <c r="J914" s="203" t="str">
        <f>IF(G914="-","-",H914/G914)</f>
        <v>-</v>
      </c>
    </row>
    <row r="915">
      <c r="A915" s="182">
        <f>A835</f>
        <v>101</v>
      </c>
      <c r="B915" s="131">
        <f>INPUT!AS12</f>
        <v>-0.5613011256267133</v>
      </c>
      <c r="C915" s="131">
        <f>IF(B915&gt;=0,"-",-B915)</f>
        <v>0.5613011256267133</v>
      </c>
      <c r="D915" s="195" t="e">
        <f>G746</f>
        <v>#DIV/0!</v>
      </c>
      <c r="E915" s="200" t="e">
        <f>IF(C915="-","-",IF(C915&lt;=D915,"OK","NG"))</f>
        <v>#DIV/0!</v>
      </c>
      <c r="F915" s="200" t="e">
        <f>IF(C915="-","-",D915/C915)</f>
        <v>#DIV/0!</v>
      </c>
      <c r="G915" s="131" t="str">
        <f>IF(B915&gt;=0,B915,"-")</f>
        <v>-</v>
      </c>
      <c r="H915" s="131">
        <f>L746</f>
        <v>379.49646488731116</v>
      </c>
      <c r="I915" s="200" t="str">
        <f>IF(G915="-","-",IF(G915&lt;=H915,"OK","NG"))</f>
        <v>-</v>
      </c>
      <c r="J915" s="203" t="str">
        <f>IF(G915="-","-",H915/G915)</f>
        <v>-</v>
      </c>
    </row>
    <row r="916">
      <c r="A916" s="182">
        <f>A836</f>
        <v>101</v>
      </c>
      <c r="B916" s="131">
        <f>INPUT!AS13</f>
        <v>-0.5613011256267133</v>
      </c>
      <c r="C916" s="131">
        <f>IF(B916&gt;=0,"-",-B916)</f>
        <v>0.5613011256267133</v>
      </c>
      <c r="D916" s="195" t="e">
        <f>G747</f>
        <v>#DIV/0!</v>
      </c>
      <c r="E916" s="200" t="e">
        <f>IF(C916="-","-",IF(C916&lt;=D916,"OK","NG"))</f>
        <v>#DIV/0!</v>
      </c>
      <c r="F916" s="200" t="e">
        <f>IF(C916="-","-",D916/C916)</f>
        <v>#DIV/0!</v>
      </c>
      <c r="G916" s="131" t="str">
        <f>IF(B916&gt;=0,B916,"-")</f>
        <v>-</v>
      </c>
      <c r="H916" s="131">
        <f>L747</f>
        <v>379.49646488731116</v>
      </c>
      <c r="I916" s="200" t="str">
        <f>IF(G916="-","-",IF(G916&lt;=H916,"OK","NG"))</f>
        <v>-</v>
      </c>
      <c r="J916" s="203" t="str">
        <f>IF(G916="-","-",H916/G916)</f>
        <v>-</v>
      </c>
    </row>
    <row r="917">
      <c r="A917" s="182">
        <f>A837</f>
        <v>101</v>
      </c>
      <c r="B917" s="131">
        <f>INPUT!AS14</f>
        <v>-0.5613011256267133</v>
      </c>
      <c r="C917" s="131">
        <f>IF(B917&gt;=0,"-",-B917)</f>
        <v>0.5613011256267133</v>
      </c>
      <c r="D917" s="195" t="e">
        <f>G748</f>
        <v>#DIV/0!</v>
      </c>
      <c r="E917" s="200" t="e">
        <f>IF(C917="-","-",IF(C917&lt;=D917,"OK","NG"))</f>
        <v>#DIV/0!</v>
      </c>
      <c r="F917" s="200" t="e">
        <f>IF(C917="-","-",D917/C917)</f>
        <v>#DIV/0!</v>
      </c>
      <c r="G917" s="131" t="str">
        <f>IF(B917&gt;=0,B917,"-")</f>
        <v>-</v>
      </c>
      <c r="H917" s="131">
        <f>L748</f>
        <v>379.49646488731116</v>
      </c>
      <c r="I917" s="200" t="str">
        <f>IF(G917="-","-",IF(G917&lt;=H917,"OK","NG"))</f>
        <v>-</v>
      </c>
      <c r="J917" s="203" t="str">
        <f>IF(G917="-","-",H917/G917)</f>
        <v>-</v>
      </c>
    </row>
    <row r="918">
      <c r="A918" s="182">
        <f>A838</f>
        <v>101</v>
      </c>
      <c r="B918" s="131">
        <f>INPUT!AS15</f>
        <v>-0.5613011256267133</v>
      </c>
      <c r="C918" s="131">
        <f>IF(B918&gt;=0,"-",-B918)</f>
        <v>0.5613011256267133</v>
      </c>
      <c r="D918" s="195" t="e">
        <f>G749</f>
        <v>#DIV/0!</v>
      </c>
      <c r="E918" s="200" t="e">
        <f>IF(C918="-","-",IF(C918&lt;=D918,"OK","NG"))</f>
        <v>#DIV/0!</v>
      </c>
      <c r="F918" s="200" t="e">
        <f>IF(C918="-","-",D918/C918)</f>
        <v>#DIV/0!</v>
      </c>
      <c r="G918" s="131" t="str">
        <f>IF(B918&gt;=0,B918,"-")</f>
        <v>-</v>
      </c>
      <c r="H918" s="131">
        <f>L749</f>
        <v>379.49646488731116</v>
      </c>
      <c r="I918" s="200" t="str">
        <f>IF(G918="-","-",IF(G918&lt;=H918,"OK","NG"))</f>
        <v>-</v>
      </c>
      <c r="J918" s="203" t="str">
        <f>IF(G918="-","-",H918/G918)</f>
        <v>-</v>
      </c>
    </row>
    <row r="919">
      <c r="A919" s="182">
        <f>A839</f>
        <v>101</v>
      </c>
      <c r="B919" s="131">
        <f>INPUT!AS16</f>
        <v>-0.5613011256267133</v>
      </c>
      <c r="C919" s="131">
        <f>IF(B919&gt;=0,"-",-B919)</f>
        <v>0.5613011256267133</v>
      </c>
      <c r="D919" s="195" t="e">
        <f>G750</f>
        <v>#DIV/0!</v>
      </c>
      <c r="E919" s="200" t="e">
        <f>IF(C919="-","-",IF(C919&lt;=D919,"OK","NG"))</f>
        <v>#DIV/0!</v>
      </c>
      <c r="F919" s="200" t="e">
        <f>IF(C919="-","-",D919/C919)</f>
        <v>#DIV/0!</v>
      </c>
      <c r="G919" s="131" t="str">
        <f>IF(B919&gt;=0,B919,"-")</f>
        <v>-</v>
      </c>
      <c r="H919" s="131">
        <f>L750</f>
        <v>379.49646488731116</v>
      </c>
      <c r="I919" s="200" t="str">
        <f>IF(G919="-","-",IF(G919&lt;=H919,"OK","NG"))</f>
        <v>-</v>
      </c>
      <c r="J919" s="203" t="str">
        <f>IF(G919="-","-",H919/G919)</f>
        <v>-</v>
      </c>
    </row>
    <row r="920">
      <c r="A920" s="182">
        <f>A840</f>
        <v>101</v>
      </c>
      <c r="B920" s="131">
        <f>INPUT!AS17</f>
        <v>-0.5613011256267133</v>
      </c>
      <c r="C920" s="131">
        <f>IF(B920&gt;=0,"-",-B920)</f>
        <v>0.5613011256267133</v>
      </c>
      <c r="D920" s="195" t="e">
        <f>G751</f>
        <v>#DIV/0!</v>
      </c>
      <c r="E920" s="200" t="e">
        <f>IF(C920="-","-",IF(C920&lt;=D920,"OK","NG"))</f>
        <v>#DIV/0!</v>
      </c>
      <c r="F920" s="200" t="e">
        <f>IF(C920="-","-",D920/C920)</f>
        <v>#DIV/0!</v>
      </c>
      <c r="G920" s="131" t="str">
        <f>IF(B920&gt;=0,B920,"-")</f>
        <v>-</v>
      </c>
      <c r="H920" s="131">
        <f>L751</f>
        <v>379.49646488731116</v>
      </c>
      <c r="I920" s="200" t="str">
        <f>IF(G920="-","-",IF(G920&lt;=H920,"OK","NG"))</f>
        <v>-</v>
      </c>
      <c r="J920" s="203" t="str">
        <f>IF(G920="-","-",H920/G920)</f>
        <v>-</v>
      </c>
    </row>
    <row r="921">
      <c r="A921" s="182">
        <f>A841</f>
        <v>101</v>
      </c>
      <c r="B921" s="131">
        <f>INPUT!AS18</f>
        <v>-0.5613011256267133</v>
      </c>
      <c r="C921" s="131">
        <f>IF(B921&gt;=0,"-",-B921)</f>
        <v>0.5613011256267133</v>
      </c>
      <c r="D921" s="195" t="e">
        <f>G752</f>
        <v>#DIV/0!</v>
      </c>
      <c r="E921" s="200" t="e">
        <f>IF(C921="-","-",IF(C921&lt;=D921,"OK","NG"))</f>
        <v>#DIV/0!</v>
      </c>
      <c r="F921" s="200" t="e">
        <f>IF(C921="-","-",D921/C921)</f>
        <v>#DIV/0!</v>
      </c>
      <c r="G921" s="131" t="str">
        <f>IF(B921&gt;=0,B921,"-")</f>
        <v>-</v>
      </c>
      <c r="H921" s="131">
        <f>L752</f>
        <v>379.49646488731116</v>
      </c>
      <c r="I921" s="200" t="str">
        <f>IF(G921="-","-",IF(G921&lt;=H921,"OK","NG"))</f>
        <v>-</v>
      </c>
      <c r="J921" s="203" t="str">
        <f>IF(G921="-","-",H921/G921)</f>
        <v>-</v>
      </c>
    </row>
    <row r="922">
      <c r="A922" s="182">
        <f>A842</f>
        <v>101</v>
      </c>
      <c r="B922" s="131">
        <f>INPUT!AS19</f>
        <v>-0.5613011256267133</v>
      </c>
      <c r="C922" s="131">
        <f>IF(B922&gt;=0,"-",-B922)</f>
        <v>0.5613011256267133</v>
      </c>
      <c r="D922" s="195" t="e">
        <f>G753</f>
        <v>#DIV/0!</v>
      </c>
      <c r="E922" s="200" t="e">
        <f>IF(C922="-","-",IF(C922&lt;=D922,"OK","NG"))</f>
        <v>#DIV/0!</v>
      </c>
      <c r="F922" s="200" t="e">
        <f>IF(C922="-","-",D922/C922)</f>
        <v>#DIV/0!</v>
      </c>
      <c r="G922" s="131" t="str">
        <f>IF(B922&gt;=0,B922,"-")</f>
        <v>-</v>
      </c>
      <c r="H922" s="131">
        <f>L753</f>
        <v>379.49646488731116</v>
      </c>
      <c r="I922" s="200" t="str">
        <f>IF(G922="-","-",IF(G922&lt;=H922,"OK","NG"))</f>
        <v>-</v>
      </c>
      <c r="J922" s="203" t="str">
        <f>IF(G922="-","-",H922/G922)</f>
        <v>-</v>
      </c>
    </row>
    <row r="923">
      <c r="A923" s="182">
        <f>A843</f>
        <v>101</v>
      </c>
      <c r="B923" s="131">
        <f>INPUT!AS20</f>
        <v>-0.5613011256267133</v>
      </c>
      <c r="C923" s="131">
        <f>IF(B923&gt;=0,"-",-B923)</f>
        <v>0.5613011256267133</v>
      </c>
      <c r="D923" s="195" t="e">
        <f>G754</f>
        <v>#DIV/0!</v>
      </c>
      <c r="E923" s="200" t="e">
        <f>IF(C923="-","-",IF(C923&lt;=D923,"OK","NG"))</f>
        <v>#DIV/0!</v>
      </c>
      <c r="F923" s="200" t="e">
        <f>IF(C923="-","-",D923/C923)</f>
        <v>#DIV/0!</v>
      </c>
      <c r="G923" s="131" t="str">
        <f>IF(B923&gt;=0,B923,"-")</f>
        <v>-</v>
      </c>
      <c r="H923" s="131">
        <f>L754</f>
        <v>379.49646488731116</v>
      </c>
      <c r="I923" s="200" t="str">
        <f>IF(G923="-","-",IF(G923&lt;=H923,"OK","NG"))</f>
        <v>-</v>
      </c>
      <c r="J923" s="203" t="str">
        <f>IF(G923="-","-",H923/G923)</f>
        <v>-</v>
      </c>
    </row>
    <row r="924">
      <c r="A924" s="182">
        <f>A844</f>
        <v>101</v>
      </c>
      <c r="B924" s="131">
        <f>INPUT!AS21</f>
        <v>-0.5613011256267133</v>
      </c>
      <c r="C924" s="131">
        <f>IF(B924&gt;=0,"-",-B924)</f>
        <v>0.5613011256267133</v>
      </c>
      <c r="D924" s="195" t="e">
        <f>G755</f>
        <v>#DIV/0!</v>
      </c>
      <c r="E924" s="200" t="e">
        <f>IF(C924="-","-",IF(C924&lt;=D924,"OK","NG"))</f>
        <v>#DIV/0!</v>
      </c>
      <c r="F924" s="200" t="e">
        <f>IF(C924="-","-",D924/C924)</f>
        <v>#DIV/0!</v>
      </c>
      <c r="G924" s="131" t="str">
        <f>IF(B924&gt;=0,B924,"-")</f>
        <v>-</v>
      </c>
      <c r="H924" s="131">
        <f>L755</f>
        <v>379.49646488731116</v>
      </c>
      <c r="I924" s="200" t="str">
        <f>IF(G924="-","-",IF(G924&lt;=H924,"OK","NG"))</f>
        <v>-</v>
      </c>
      <c r="J924" s="203" t="str">
        <f>IF(G924="-","-",H924/G924)</f>
        <v>-</v>
      </c>
    </row>
    <row r="925">
      <c r="A925" s="182">
        <f>A845</f>
        <v>101</v>
      </c>
      <c r="B925" s="131">
        <f>INPUT!AS22</f>
        <v>-0.5613011256267133</v>
      </c>
      <c r="C925" s="131">
        <f>IF(B925&gt;=0,"-",-B925)</f>
        <v>0.5613011256267133</v>
      </c>
      <c r="D925" s="195" t="e">
        <f>G756</f>
        <v>#DIV/0!</v>
      </c>
      <c r="E925" s="200" t="e">
        <f>IF(C925="-","-",IF(C925&lt;=D925,"OK","NG"))</f>
        <v>#DIV/0!</v>
      </c>
      <c r="F925" s="200" t="e">
        <f>IF(C925="-","-",D925/C925)</f>
        <v>#DIV/0!</v>
      </c>
      <c r="G925" s="131" t="str">
        <f>IF(B925&gt;=0,B925,"-")</f>
        <v>-</v>
      </c>
      <c r="H925" s="131">
        <f>L756</f>
        <v>379.49646488731116</v>
      </c>
      <c r="I925" s="200" t="str">
        <f>IF(G925="-","-",IF(G925&lt;=H925,"OK","NG"))</f>
        <v>-</v>
      </c>
      <c r="J925" s="203" t="str">
        <f>IF(G925="-","-",H925/G925)</f>
        <v>-</v>
      </c>
    </row>
    <row r="926">
      <c r="A926" s="182">
        <f>A846</f>
        <v>101</v>
      </c>
      <c r="B926" s="131">
        <f>INPUT!AS23</f>
        <v>-0.5613011256267133</v>
      </c>
      <c r="C926" s="131">
        <f>IF(B926&gt;=0,"-",-B926)</f>
        <v>0.5613011256267133</v>
      </c>
      <c r="D926" s="195" t="e">
        <f>G757</f>
        <v>#DIV/0!</v>
      </c>
      <c r="E926" s="200" t="e">
        <f>IF(C926="-","-",IF(C926&lt;=D926,"OK","NG"))</f>
        <v>#DIV/0!</v>
      </c>
      <c r="F926" s="200" t="e">
        <f>IF(C926="-","-",D926/C926)</f>
        <v>#DIV/0!</v>
      </c>
      <c r="G926" s="131" t="str">
        <f>IF(B926&gt;=0,B926,"-")</f>
        <v>-</v>
      </c>
      <c r="H926" s="131">
        <f>L757</f>
        <v>379.49646488731116</v>
      </c>
      <c r="I926" s="200" t="str">
        <f>IF(G926="-","-",IF(G926&lt;=H926,"OK","NG"))</f>
        <v>-</v>
      </c>
      <c r="J926" s="203" t="str">
        <f>IF(G926="-","-",H926/G926)</f>
        <v>-</v>
      </c>
    </row>
    <row r="927">
      <c r="A927" s="182">
        <f>A847</f>
        <v>101</v>
      </c>
      <c r="B927" s="131">
        <f>INPUT!AS24</f>
        <v>-0.5613011256267133</v>
      </c>
      <c r="C927" s="131">
        <f>IF(B927&gt;=0,"-",-B927)</f>
        <v>0.5613011256267133</v>
      </c>
      <c r="D927" s="195" t="e">
        <f>G758</f>
        <v>#DIV/0!</v>
      </c>
      <c r="E927" s="200" t="e">
        <f>IF(C927="-","-",IF(C927&lt;=D927,"OK","NG"))</f>
        <v>#DIV/0!</v>
      </c>
      <c r="F927" s="200" t="e">
        <f>IF(C927="-","-",D927/C927)</f>
        <v>#DIV/0!</v>
      </c>
      <c r="G927" s="131" t="str">
        <f>IF(B927&gt;=0,B927,"-")</f>
        <v>-</v>
      </c>
      <c r="H927" s="131">
        <f>L758</f>
        <v>379.49646488731116</v>
      </c>
      <c r="I927" s="200" t="str">
        <f>IF(G927="-","-",IF(G927&lt;=H927,"OK","NG"))</f>
        <v>-</v>
      </c>
      <c r="J927" s="203" t="str">
        <f>IF(G927="-","-",H927/G927)</f>
        <v>-</v>
      </c>
    </row>
    <row r="928">
      <c r="A928" s="182">
        <f>A848</f>
        <v>101</v>
      </c>
      <c r="B928" s="131">
        <f>INPUT!AS25</f>
        <v>-0.5613011256267133</v>
      </c>
      <c r="C928" s="131">
        <f>IF(B928&gt;=0,"-",-B928)</f>
        <v>0.5613011256267133</v>
      </c>
      <c r="D928" s="195" t="e">
        <f>G759</f>
        <v>#DIV/0!</v>
      </c>
      <c r="E928" s="200" t="e">
        <f>IF(C928="-","-",IF(C928&lt;=D928,"OK","NG"))</f>
        <v>#DIV/0!</v>
      </c>
      <c r="F928" s="200" t="e">
        <f>IF(C928="-","-",D928/C928)</f>
        <v>#DIV/0!</v>
      </c>
      <c r="G928" s="131" t="str">
        <f>IF(B928&gt;=0,B928,"-")</f>
        <v>-</v>
      </c>
      <c r="H928" s="131">
        <f>L759</f>
        <v>379.49646488731116</v>
      </c>
      <c r="I928" s="200" t="str">
        <f>IF(G928="-","-",IF(G928&lt;=H928,"OK","NG"))</f>
        <v>-</v>
      </c>
      <c r="J928" s="203" t="str">
        <f>IF(G928="-","-",H928/G928)</f>
        <v>-</v>
      </c>
    </row>
    <row r="929">
      <c r="A929" s="182">
        <f>A849</f>
        <v>101</v>
      </c>
      <c r="B929" s="131">
        <f>INPUT!AS26</f>
        <v>-0.5613011256267133</v>
      </c>
      <c r="C929" s="131">
        <f>IF(B929&gt;=0,"-",-B929)</f>
        <v>0.5613011256267133</v>
      </c>
      <c r="D929" s="195" t="e">
        <f>G760</f>
        <v>#DIV/0!</v>
      </c>
      <c r="E929" s="200" t="e">
        <f>IF(C929="-","-",IF(C929&lt;=D929,"OK","NG"))</f>
        <v>#DIV/0!</v>
      </c>
      <c r="F929" s="200" t="e">
        <f>IF(C929="-","-",D929/C929)</f>
        <v>#DIV/0!</v>
      </c>
      <c r="G929" s="131" t="str">
        <f>IF(B929&gt;=0,B929,"-")</f>
        <v>-</v>
      </c>
      <c r="H929" s="131">
        <f>L760</f>
        <v>379.49646488731116</v>
      </c>
      <c r="I929" s="200" t="str">
        <f>IF(G929="-","-",IF(G929&lt;=H929,"OK","NG"))</f>
        <v>-</v>
      </c>
      <c r="J929" s="203" t="str">
        <f>IF(G929="-","-",H929/G929)</f>
        <v>-</v>
      </c>
    </row>
    <row r="930">
      <c r="A930" s="182">
        <f>A850</f>
        <v>101</v>
      </c>
      <c r="B930" s="131">
        <f>INPUT!AS27</f>
        <v>-0.5613011256267133</v>
      </c>
      <c r="C930" s="131">
        <f>IF(B930&gt;=0,"-",-B930)</f>
        <v>0.5613011256267133</v>
      </c>
      <c r="D930" s="195" t="e">
        <f>G761</f>
        <v>#DIV/0!</v>
      </c>
      <c r="E930" s="200" t="e">
        <f>IF(C930="-","-",IF(C930&lt;=D930,"OK","NG"))</f>
        <v>#DIV/0!</v>
      </c>
      <c r="F930" s="200" t="e">
        <f>IF(C930="-","-",D930/C930)</f>
        <v>#DIV/0!</v>
      </c>
      <c r="G930" s="131" t="str">
        <f>IF(B930&gt;=0,B930,"-")</f>
        <v>-</v>
      </c>
      <c r="H930" s="131">
        <f>L761</f>
        <v>379.49646488731116</v>
      </c>
      <c r="I930" s="200" t="str">
        <f>IF(G930="-","-",IF(G930&lt;=H930,"OK","NG"))</f>
        <v>-</v>
      </c>
      <c r="J930" s="203" t="str">
        <f>IF(G930="-","-",H930/G930)</f>
        <v>-</v>
      </c>
    </row>
    <row r="931">
      <c r="A931" s="182">
        <f>A851</f>
        <v>101</v>
      </c>
      <c r="B931" s="131">
        <f>INPUT!AS28</f>
        <v>-0.5613011256267133</v>
      </c>
      <c r="C931" s="131">
        <f>IF(B931&gt;=0,"-",-B931)</f>
        <v>0.5613011256267133</v>
      </c>
      <c r="D931" s="195" t="e">
        <f>G762</f>
        <v>#DIV/0!</v>
      </c>
      <c r="E931" s="200" t="e">
        <f>IF(C931="-","-",IF(C931&lt;=D931,"OK","NG"))</f>
        <v>#DIV/0!</v>
      </c>
      <c r="F931" s="200" t="e">
        <f>IF(C931="-","-",D931/C931)</f>
        <v>#DIV/0!</v>
      </c>
      <c r="G931" s="131" t="str">
        <f>IF(B931&gt;=0,B931,"-")</f>
        <v>-</v>
      </c>
      <c r="H931" s="131">
        <f>L762</f>
        <v>379.49646488731116</v>
      </c>
      <c r="I931" s="200" t="str">
        <f>IF(G931="-","-",IF(G931&lt;=H931,"OK","NG"))</f>
        <v>-</v>
      </c>
      <c r="J931" s="203" t="str">
        <f>IF(G931="-","-",H931/G931)</f>
        <v>-</v>
      </c>
    </row>
    <row r="932">
      <c r="A932" s="182">
        <f>A852</f>
        <v>101</v>
      </c>
      <c r="B932" s="131">
        <f>INPUT!AS29</f>
        <v>-0.5613011256267133</v>
      </c>
      <c r="C932" s="131">
        <f>IF(B932&gt;=0,"-",-B932)</f>
        <v>0.5613011256267133</v>
      </c>
      <c r="D932" s="195" t="e">
        <f>G763</f>
        <v>#DIV/0!</v>
      </c>
      <c r="E932" s="200" t="e">
        <f>IF(C932="-","-",IF(C932&lt;=D932,"OK","NG"))</f>
        <v>#DIV/0!</v>
      </c>
      <c r="F932" s="200" t="e">
        <f>IF(C932="-","-",D932/C932)</f>
        <v>#DIV/0!</v>
      </c>
      <c r="G932" s="131" t="str">
        <f>IF(B932&gt;=0,B932,"-")</f>
        <v>-</v>
      </c>
      <c r="H932" s="131">
        <f>L763</f>
        <v>379.49646488731116</v>
      </c>
      <c r="I932" s="200" t="str">
        <f>IF(G932="-","-",IF(G932&lt;=H932,"OK","NG"))</f>
        <v>-</v>
      </c>
      <c r="J932" s="203" t="str">
        <f>IF(G932="-","-",H932/G932)</f>
        <v>-</v>
      </c>
    </row>
    <row r="933">
      <c r="A933" s="182">
        <f>A853</f>
        <v>101</v>
      </c>
      <c r="B933" s="131">
        <f>INPUT!AS30</f>
        <v>-0.5613011256267133</v>
      </c>
      <c r="C933" s="131">
        <f>IF(B933&gt;=0,"-",-B933)</f>
        <v>0.5613011256267133</v>
      </c>
      <c r="D933" s="195" t="e">
        <f>G764</f>
        <v>#DIV/0!</v>
      </c>
      <c r="E933" s="200" t="e">
        <f>IF(C933="-","-",IF(C933&lt;=D933,"OK","NG"))</f>
        <v>#DIV/0!</v>
      </c>
      <c r="F933" s="200" t="e">
        <f>IF(C933="-","-",D933/C933)</f>
        <v>#DIV/0!</v>
      </c>
      <c r="G933" s="131" t="str">
        <f>IF(B933&gt;=0,B933,"-")</f>
        <v>-</v>
      </c>
      <c r="H933" s="131">
        <f>L764</f>
        <v>379.49646488731116</v>
      </c>
      <c r="I933" s="200" t="str">
        <f>IF(G933="-","-",IF(G933&lt;=H933,"OK","NG"))</f>
        <v>-</v>
      </c>
      <c r="J933" s="203" t="str">
        <f>IF(G933="-","-",H933/G933)</f>
        <v>-</v>
      </c>
    </row>
    <row r="934">
      <c r="A934" s="182">
        <f>A854</f>
        <v>101</v>
      </c>
      <c r="B934" s="131">
        <f>INPUT!AS31</f>
        <v>-0.5613011256267133</v>
      </c>
      <c r="C934" s="131">
        <f>IF(B934&gt;=0,"-",-B934)</f>
        <v>0.5613011256267133</v>
      </c>
      <c r="D934" s="195" t="e">
        <f>G765</f>
        <v>#DIV/0!</v>
      </c>
      <c r="E934" s="200" t="e">
        <f>IF(C934="-","-",IF(C934&lt;=D934,"OK","NG"))</f>
        <v>#DIV/0!</v>
      </c>
      <c r="F934" s="200" t="e">
        <f>IF(C934="-","-",D934/C934)</f>
        <v>#DIV/0!</v>
      </c>
      <c r="G934" s="131" t="str">
        <f>IF(B934&gt;=0,B934,"-")</f>
        <v>-</v>
      </c>
      <c r="H934" s="131">
        <f>L765</f>
        <v>379.49646488731116</v>
      </c>
      <c r="I934" s="200" t="str">
        <f>IF(G934="-","-",IF(G934&lt;=H934,"OK","NG"))</f>
        <v>-</v>
      </c>
      <c r="J934" s="203" t="str">
        <f>IF(G934="-","-",H934/G934)</f>
        <v>-</v>
      </c>
    </row>
    <row r="935">
      <c r="A935" s="182">
        <f>A855</f>
        <v>101</v>
      </c>
      <c r="B935" s="131">
        <f>INPUT!AS32</f>
        <v>-0.5613011256267133</v>
      </c>
      <c r="C935" s="131">
        <f>IF(B935&gt;=0,"-",-B935)</f>
        <v>0.5613011256267133</v>
      </c>
      <c r="D935" s="195" t="e">
        <f>G766</f>
        <v>#DIV/0!</v>
      </c>
      <c r="E935" s="200" t="e">
        <f>IF(C935="-","-",IF(C935&lt;=D935,"OK","NG"))</f>
        <v>#DIV/0!</v>
      </c>
      <c r="F935" s="200" t="e">
        <f>IF(C935="-","-",D935/C935)</f>
        <v>#DIV/0!</v>
      </c>
      <c r="G935" s="131" t="str">
        <f>IF(B935&gt;=0,B935,"-")</f>
        <v>-</v>
      </c>
      <c r="H935" s="131">
        <f>L766</f>
        <v>379.49646488731116</v>
      </c>
      <c r="I935" s="200" t="str">
        <f>IF(G935="-","-",IF(G935&lt;=H935,"OK","NG"))</f>
        <v>-</v>
      </c>
      <c r="J935" s="203" t="str">
        <f>IF(G935="-","-",H935/G935)</f>
        <v>-</v>
      </c>
    </row>
    <row r="936">
      <c r="A936" s="182">
        <f>A856</f>
        <v>101</v>
      </c>
      <c r="B936" s="131">
        <f>INPUT!AS33</f>
        <v>-0.5613011256267133</v>
      </c>
      <c r="C936" s="131">
        <f>IF(B936&gt;=0,"-",-B936)</f>
        <v>0.5613011256267133</v>
      </c>
      <c r="D936" s="195" t="e">
        <f>G767</f>
        <v>#DIV/0!</v>
      </c>
      <c r="E936" s="200" t="e">
        <f>IF(C936="-","-",IF(C936&lt;=D936,"OK","NG"))</f>
        <v>#DIV/0!</v>
      </c>
      <c r="F936" s="200" t="e">
        <f>IF(C936="-","-",D936/C936)</f>
        <v>#DIV/0!</v>
      </c>
      <c r="G936" s="131" t="str">
        <f>IF(B936&gt;=0,B936,"-")</f>
        <v>-</v>
      </c>
      <c r="H936" s="131">
        <f>L767</f>
        <v>379.49646488731116</v>
      </c>
      <c r="I936" s="200" t="str">
        <f>IF(G936="-","-",IF(G936&lt;=H936,"OK","NG"))</f>
        <v>-</v>
      </c>
      <c r="J936" s="203" t="str">
        <f>IF(G936="-","-",H936/G936)</f>
        <v>-</v>
      </c>
    </row>
    <row r="937">
      <c r="A937" s="182">
        <f>A857</f>
        <v>101</v>
      </c>
      <c r="B937" s="131">
        <f>INPUT!AS34</f>
        <v>-0.5613011256267133</v>
      </c>
      <c r="C937" s="131">
        <f>IF(B937&gt;=0,"-",-B937)</f>
        <v>0.5613011256267133</v>
      </c>
      <c r="D937" s="195" t="e">
        <f>G768</f>
        <v>#DIV/0!</v>
      </c>
      <c r="E937" s="200" t="e">
        <f>IF(C937="-","-",IF(C937&lt;=D937,"OK","NG"))</f>
        <v>#DIV/0!</v>
      </c>
      <c r="F937" s="200" t="e">
        <f>IF(C937="-","-",D937/C937)</f>
        <v>#DIV/0!</v>
      </c>
      <c r="G937" s="131" t="str">
        <f>IF(B937&gt;=0,B937,"-")</f>
        <v>-</v>
      </c>
      <c r="H937" s="131">
        <f>L768</f>
        <v>379.49646488731116</v>
      </c>
      <c r="I937" s="200" t="str">
        <f>IF(G937="-","-",IF(G937&lt;=H937,"OK","NG"))</f>
        <v>-</v>
      </c>
      <c r="J937" s="203" t="str">
        <f>IF(G937="-","-",H937/G937)</f>
        <v>-</v>
      </c>
    </row>
    <row r="938">
      <c r="A938" s="182">
        <f>A858</f>
        <v>101</v>
      </c>
      <c r="B938" s="131">
        <f>INPUT!AS35</f>
        <v>-0.5613011256267133</v>
      </c>
      <c r="C938" s="131">
        <f>IF(B938&gt;=0,"-",-B938)</f>
        <v>0.5613011256267133</v>
      </c>
      <c r="D938" s="195" t="e">
        <f>G769</f>
        <v>#DIV/0!</v>
      </c>
      <c r="E938" s="200" t="e">
        <f>IF(C938="-","-",IF(C938&lt;=D938,"OK","NG"))</f>
        <v>#DIV/0!</v>
      </c>
      <c r="F938" s="200" t="e">
        <f>IF(C938="-","-",D938/C938)</f>
        <v>#DIV/0!</v>
      </c>
      <c r="G938" s="131" t="str">
        <f>IF(B938&gt;=0,B938,"-")</f>
        <v>-</v>
      </c>
      <c r="H938" s="131">
        <f>L769</f>
        <v>379.49646488731116</v>
      </c>
      <c r="I938" s="200" t="str">
        <f>IF(G938="-","-",IF(G938&lt;=H938,"OK","NG"))</f>
        <v>-</v>
      </c>
      <c r="J938" s="203" t="str">
        <f>IF(G938="-","-",H938/G938)</f>
        <v>-</v>
      </c>
    </row>
    <row r="939">
      <c r="A939" s="182">
        <f>A859</f>
        <v>101</v>
      </c>
      <c r="B939" s="131">
        <f>INPUT!AS36</f>
        <v>-0.5613011256267133</v>
      </c>
      <c r="C939" s="131">
        <f>IF(B939&gt;=0,"-",-B939)</f>
        <v>0.5613011256267133</v>
      </c>
      <c r="D939" s="195" t="e">
        <f>G770</f>
        <v>#DIV/0!</v>
      </c>
      <c r="E939" s="200" t="e">
        <f>IF(C939="-","-",IF(C939&lt;=D939,"OK","NG"))</f>
        <v>#DIV/0!</v>
      </c>
      <c r="F939" s="200" t="e">
        <f>IF(C939="-","-",D939/C939)</f>
        <v>#DIV/0!</v>
      </c>
      <c r="G939" s="131" t="str">
        <f>IF(B939&gt;=0,B939,"-")</f>
        <v>-</v>
      </c>
      <c r="H939" s="131">
        <f>L770</f>
        <v>379.49646488731116</v>
      </c>
      <c r="I939" s="200" t="str">
        <f>IF(G939="-","-",IF(G939&lt;=H939,"OK","NG"))</f>
        <v>-</v>
      </c>
      <c r="J939" s="203" t="str">
        <f>IF(G939="-","-",H939/G939)</f>
        <v>-</v>
      </c>
    </row>
    <row r="940">
      <c r="A940" s="182">
        <f>A860</f>
        <v>101</v>
      </c>
      <c r="B940" s="131">
        <f>INPUT!AS37</f>
        <v>-0.5613011256267133</v>
      </c>
      <c r="C940" s="131">
        <f>IF(B940&gt;=0,"-",-B940)</f>
        <v>0.5613011256267133</v>
      </c>
      <c r="D940" s="195" t="e">
        <f>G771</f>
        <v>#DIV/0!</v>
      </c>
      <c r="E940" s="200" t="e">
        <f>IF(C940="-","-",IF(C940&lt;=D940,"OK","NG"))</f>
        <v>#DIV/0!</v>
      </c>
      <c r="F940" s="200" t="e">
        <f>IF(C940="-","-",D940/C940)</f>
        <v>#DIV/0!</v>
      </c>
      <c r="G940" s="131" t="str">
        <f>IF(B940&gt;=0,B940,"-")</f>
        <v>-</v>
      </c>
      <c r="H940" s="131">
        <f>L771</f>
        <v>379.49646488731116</v>
      </c>
      <c r="I940" s="200" t="str">
        <f>IF(G940="-","-",IF(G940&lt;=H940,"OK","NG"))</f>
        <v>-</v>
      </c>
      <c r="J940" s="203" t="str">
        <f>IF(G940="-","-",H940/G940)</f>
        <v>-</v>
      </c>
    </row>
    <row r="941">
      <c r="A941" s="182">
        <f>A861</f>
        <v>101</v>
      </c>
      <c r="B941" s="131">
        <f>INPUT!AS38</f>
        <v>-0.5613011256267133</v>
      </c>
      <c r="C941" s="131">
        <f>IF(B941&gt;=0,"-",-B941)</f>
        <v>0.5613011256267133</v>
      </c>
      <c r="D941" s="195" t="e">
        <f>G772</f>
        <v>#DIV/0!</v>
      </c>
      <c r="E941" s="200" t="e">
        <f>IF(C941="-","-",IF(C941&lt;=D941,"OK","NG"))</f>
        <v>#DIV/0!</v>
      </c>
      <c r="F941" s="200" t="e">
        <f>IF(C941="-","-",D941/C941)</f>
        <v>#DIV/0!</v>
      </c>
      <c r="G941" s="131" t="str">
        <f>IF(B941&gt;=0,B941,"-")</f>
        <v>-</v>
      </c>
      <c r="H941" s="131">
        <f>L772</f>
        <v>379.49646488731116</v>
      </c>
      <c r="I941" s="200" t="str">
        <f>IF(G941="-","-",IF(G941&lt;=H941,"OK","NG"))</f>
        <v>-</v>
      </c>
      <c r="J941" s="203" t="str">
        <f>IF(G941="-","-",H941/G941)</f>
        <v>-</v>
      </c>
    </row>
    <row r="942">
      <c r="A942" s="182">
        <f>A862</f>
        <v>101</v>
      </c>
      <c r="B942" s="131">
        <f>INPUT!AS39</f>
        <v>-0.5613011256267133</v>
      </c>
      <c r="C942" s="131">
        <f>IF(B942&gt;=0,"-",-B942)</f>
        <v>0.5613011256267133</v>
      </c>
      <c r="D942" s="195" t="e">
        <f>G773</f>
        <v>#DIV/0!</v>
      </c>
      <c r="E942" s="200" t="e">
        <f>IF(C942="-","-",IF(C942&lt;=D942,"OK","NG"))</f>
        <v>#DIV/0!</v>
      </c>
      <c r="F942" s="200" t="e">
        <f>IF(C942="-","-",D942/C942)</f>
        <v>#DIV/0!</v>
      </c>
      <c r="G942" s="131" t="str">
        <f>IF(B942&gt;=0,B942,"-")</f>
        <v>-</v>
      </c>
      <c r="H942" s="131">
        <f>L773</f>
        <v>379.49646488731116</v>
      </c>
      <c r="I942" s="200" t="str">
        <f>IF(G942="-","-",IF(G942&lt;=H942,"OK","NG"))</f>
        <v>-</v>
      </c>
      <c r="J942" s="203" t="str">
        <f>IF(G942="-","-",H942/G942)</f>
        <v>-</v>
      </c>
    </row>
    <row r="943">
      <c r="A943" s="182">
        <f>A863</f>
        <v>101</v>
      </c>
      <c r="B943" s="131">
        <f>INPUT!AS40</f>
        <v>-0.5613011256267133</v>
      </c>
      <c r="C943" s="131">
        <f>IF(B943&gt;=0,"-",-B943)</f>
        <v>0.5613011256267133</v>
      </c>
      <c r="D943" s="195" t="e">
        <f>G774</f>
        <v>#DIV/0!</v>
      </c>
      <c r="E943" s="200" t="e">
        <f>IF(C943="-","-",IF(C943&lt;=D943,"OK","NG"))</f>
        <v>#DIV/0!</v>
      </c>
      <c r="F943" s="200" t="e">
        <f>IF(C943="-","-",D943/C943)</f>
        <v>#DIV/0!</v>
      </c>
      <c r="G943" s="131" t="str">
        <f>IF(B943&gt;=0,B943,"-")</f>
        <v>-</v>
      </c>
      <c r="H943" s="131">
        <f>L774</f>
        <v>379.49646488731116</v>
      </c>
      <c r="I943" s="200" t="str">
        <f>IF(G943="-","-",IF(G943&lt;=H943,"OK","NG"))</f>
        <v>-</v>
      </c>
      <c r="J943" s="203" t="str">
        <f>IF(G943="-","-",H943/G943)</f>
        <v>-</v>
      </c>
    </row>
    <row r="944">
      <c r="A944" s="182">
        <f>A864</f>
        <v>101</v>
      </c>
      <c r="B944" s="131">
        <f>INPUT!AS41</f>
        <v>-0.5613011256267133</v>
      </c>
      <c r="C944" s="131">
        <f>IF(B944&gt;=0,"-",-B944)</f>
        <v>0.5613011256267133</v>
      </c>
      <c r="D944" s="195" t="e">
        <f>G775</f>
        <v>#DIV/0!</v>
      </c>
      <c r="E944" s="200" t="e">
        <f>IF(C944="-","-",IF(C944&lt;=D944,"OK","NG"))</f>
        <v>#DIV/0!</v>
      </c>
      <c r="F944" s="200" t="e">
        <f>IF(C944="-","-",D944/C944)</f>
        <v>#DIV/0!</v>
      </c>
      <c r="G944" s="131" t="str">
        <f>IF(B944&gt;=0,B944,"-")</f>
        <v>-</v>
      </c>
      <c r="H944" s="131">
        <f>L775</f>
        <v>379.49646488731116</v>
      </c>
      <c r="I944" s="200" t="str">
        <f>IF(G944="-","-",IF(G944&lt;=H944,"OK","NG"))</f>
        <v>-</v>
      </c>
      <c r="J944" s="203" t="str">
        <f>IF(G944="-","-",H944/G944)</f>
        <v>-</v>
      </c>
    </row>
    <row r="945">
      <c r="A945" s="182">
        <f>A865</f>
        <v>101</v>
      </c>
      <c r="B945" s="131">
        <f>INPUT!AS42</f>
        <v>-0.5613011256267133</v>
      </c>
      <c r="C945" s="131">
        <f>IF(B945&gt;=0,"-",-B945)</f>
        <v>0.5613011256267133</v>
      </c>
      <c r="D945" s="195" t="e">
        <f>G776</f>
        <v>#DIV/0!</v>
      </c>
      <c r="E945" s="200" t="e">
        <f>IF(C945="-","-",IF(C945&lt;=D945,"OK","NG"))</f>
        <v>#DIV/0!</v>
      </c>
      <c r="F945" s="200" t="e">
        <f>IF(C945="-","-",D945/C945)</f>
        <v>#DIV/0!</v>
      </c>
      <c r="G945" s="131" t="str">
        <f>IF(B945&gt;=0,B945,"-")</f>
        <v>-</v>
      </c>
      <c r="H945" s="131">
        <f>L776</f>
        <v>379.49646488731116</v>
      </c>
      <c r="I945" s="200" t="str">
        <f>IF(G945="-","-",IF(G945&lt;=H945,"OK","NG"))</f>
        <v>-</v>
      </c>
      <c r="J945" s="203" t="str">
        <f>IF(G945="-","-",H945/G945)</f>
        <v>-</v>
      </c>
    </row>
    <row r="946">
      <c r="A946" s="182">
        <f>A866</f>
        <v>101</v>
      </c>
      <c r="B946" s="131">
        <f>INPUT!AS43</f>
        <v>-0.5613011256267133</v>
      </c>
      <c r="C946" s="131">
        <f>IF(B946&gt;=0,"-",-B946)</f>
        <v>0.5613011256267133</v>
      </c>
      <c r="D946" s="195" t="e">
        <f>G777</f>
        <v>#DIV/0!</v>
      </c>
      <c r="E946" s="200" t="e">
        <f>IF(C946="-","-",IF(C946&lt;=D946,"OK","NG"))</f>
        <v>#DIV/0!</v>
      </c>
      <c r="F946" s="200" t="e">
        <f>IF(C946="-","-",D946/C946)</f>
        <v>#DIV/0!</v>
      </c>
      <c r="G946" s="131" t="str">
        <f>IF(B946&gt;=0,B946,"-")</f>
        <v>-</v>
      </c>
      <c r="H946" s="131">
        <f>L777</f>
        <v>379.49646488731116</v>
      </c>
      <c r="I946" s="200" t="str">
        <f>IF(G946="-","-",IF(G946&lt;=H946,"OK","NG"))</f>
        <v>-</v>
      </c>
      <c r="J946" s="203" t="str">
        <f>IF(G946="-","-",H946/G946)</f>
        <v>-</v>
      </c>
    </row>
    <row r="947">
      <c r="A947" s="182">
        <f>A867</f>
        <v>101</v>
      </c>
      <c r="B947" s="131">
        <f>INPUT!AS44</f>
        <v>-0.5613011256267133</v>
      </c>
      <c r="C947" s="131">
        <f>IF(B947&gt;=0,"-",-B947)</f>
        <v>0.5613011256267133</v>
      </c>
      <c r="D947" s="195" t="e">
        <f>G778</f>
        <v>#DIV/0!</v>
      </c>
      <c r="E947" s="200" t="e">
        <f>IF(C947="-","-",IF(C947&lt;=D947,"OK","NG"))</f>
        <v>#DIV/0!</v>
      </c>
      <c r="F947" s="200" t="e">
        <f>IF(C947="-","-",D947/C947)</f>
        <v>#DIV/0!</v>
      </c>
      <c r="G947" s="131" t="str">
        <f>IF(B947&gt;=0,B947,"-")</f>
        <v>-</v>
      </c>
      <c r="H947" s="131">
        <f>L778</f>
        <v>379.49646488731116</v>
      </c>
      <c r="I947" s="200" t="str">
        <f>IF(G947="-","-",IF(G947&lt;=H947,"OK","NG"))</f>
        <v>-</v>
      </c>
      <c r="J947" s="203" t="str">
        <f>IF(G947="-","-",H947/G947)</f>
        <v>-</v>
      </c>
    </row>
    <row r="948">
      <c r="A948" s="182">
        <f>A868</f>
        <v>101</v>
      </c>
      <c r="B948" s="131">
        <f>INPUT!AS45</f>
        <v>-0.5613011256267133</v>
      </c>
      <c r="C948" s="131">
        <f>IF(B948&gt;=0,"-",-B948)</f>
        <v>0.5613011256267133</v>
      </c>
      <c r="D948" s="195" t="e">
        <f>G779</f>
        <v>#DIV/0!</v>
      </c>
      <c r="E948" s="200" t="e">
        <f>IF(C948="-","-",IF(C948&lt;=D948,"OK","NG"))</f>
        <v>#DIV/0!</v>
      </c>
      <c r="F948" s="200" t="e">
        <f>IF(C948="-","-",D948/C948)</f>
        <v>#DIV/0!</v>
      </c>
      <c r="G948" s="131" t="str">
        <f>IF(B948&gt;=0,B948,"-")</f>
        <v>-</v>
      </c>
      <c r="H948" s="131">
        <f>L779</f>
        <v>379.49646488731116</v>
      </c>
      <c r="I948" s="200" t="str">
        <f>IF(G948="-","-",IF(G948&lt;=H948,"OK","NG"))</f>
        <v>-</v>
      </c>
      <c r="J948" s="203" t="str">
        <f>IF(G948="-","-",H948/G948)</f>
        <v>-</v>
      </c>
    </row>
    <row r="949">
      <c r="A949" s="182">
        <f>A869</f>
        <v>101</v>
      </c>
      <c r="B949" s="131">
        <f>INPUT!AS46</f>
        <v>-0.5613011256267133</v>
      </c>
      <c r="C949" s="131">
        <f>IF(B949&gt;=0,"-",-B949)</f>
        <v>0.5613011256267133</v>
      </c>
      <c r="D949" s="195" t="e">
        <f>G780</f>
        <v>#DIV/0!</v>
      </c>
      <c r="E949" s="200" t="e">
        <f>IF(C949="-","-",IF(C949&lt;=D949,"OK","NG"))</f>
        <v>#DIV/0!</v>
      </c>
      <c r="F949" s="200" t="e">
        <f>IF(C949="-","-",D949/C949)</f>
        <v>#DIV/0!</v>
      </c>
      <c r="G949" s="131" t="str">
        <f>IF(B949&gt;=0,B949,"-")</f>
        <v>-</v>
      </c>
      <c r="H949" s="131">
        <f>L780</f>
        <v>379.49646488731116</v>
      </c>
      <c r="I949" s="200" t="str">
        <f>IF(G949="-","-",IF(G949&lt;=H949,"OK","NG"))</f>
        <v>-</v>
      </c>
      <c r="J949" s="203" t="str">
        <f>IF(G949="-","-",H949/G949)</f>
        <v>-</v>
      </c>
    </row>
    <row r="950">
      <c r="A950" s="182">
        <f>A870</f>
        <v>101</v>
      </c>
      <c r="B950" s="131">
        <f>INPUT!AS47</f>
        <v>-0.5613011256267133</v>
      </c>
      <c r="C950" s="131">
        <f>IF(B950&gt;=0,"-",-B950)</f>
        <v>0.5613011256267133</v>
      </c>
      <c r="D950" s="195" t="e">
        <f>G781</f>
        <v>#DIV/0!</v>
      </c>
      <c r="E950" s="200" t="e">
        <f>IF(C950="-","-",IF(C950&lt;=D950,"OK","NG"))</f>
        <v>#DIV/0!</v>
      </c>
      <c r="F950" s="200" t="e">
        <f>IF(C950="-","-",D950/C950)</f>
        <v>#DIV/0!</v>
      </c>
      <c r="G950" s="131" t="str">
        <f>IF(B950&gt;=0,B950,"-")</f>
        <v>-</v>
      </c>
      <c r="H950" s="131">
        <f>L781</f>
        <v>379.49646488731116</v>
      </c>
      <c r="I950" s="200" t="str">
        <f>IF(G950="-","-",IF(G950&lt;=H950,"OK","NG"))</f>
        <v>-</v>
      </c>
      <c r="J950" s="203" t="str">
        <f>IF(G950="-","-",H950/G950)</f>
        <v>-</v>
      </c>
    </row>
    <row r="951">
      <c r="A951" s="182">
        <f>A871</f>
        <v>101</v>
      </c>
      <c r="B951" s="131">
        <f>INPUT!AS48</f>
        <v>-0.5613011256267133</v>
      </c>
      <c r="C951" s="131">
        <f>IF(B951&gt;=0,"-",-B951)</f>
        <v>0.5613011256267133</v>
      </c>
      <c r="D951" s="195" t="e">
        <f>G782</f>
        <v>#DIV/0!</v>
      </c>
      <c r="E951" s="200" t="e">
        <f>IF(C951="-","-",IF(C951&lt;=D951,"OK","NG"))</f>
        <v>#DIV/0!</v>
      </c>
      <c r="F951" s="200" t="e">
        <f>IF(C951="-","-",D951/C951)</f>
        <v>#DIV/0!</v>
      </c>
      <c r="G951" s="131" t="str">
        <f>IF(B951&gt;=0,B951,"-")</f>
        <v>-</v>
      </c>
      <c r="H951" s="131">
        <f>L782</f>
        <v>379.49646488731116</v>
      </c>
      <c r="I951" s="200" t="str">
        <f>IF(G951="-","-",IF(G951&lt;=H951,"OK","NG"))</f>
        <v>-</v>
      </c>
      <c r="J951" s="203" t="str">
        <f>IF(G951="-","-",H951/G951)</f>
        <v>-</v>
      </c>
    </row>
    <row r="952">
      <c r="A952" s="182">
        <f>A872</f>
        <v>101</v>
      </c>
      <c r="B952" s="131">
        <f>INPUT!AS49</f>
        <v>-0.5613011256267133</v>
      </c>
      <c r="C952" s="131">
        <f>IF(B952&gt;=0,"-",-B952)</f>
        <v>0.5613011256267133</v>
      </c>
      <c r="D952" s="195" t="e">
        <f>G783</f>
        <v>#DIV/0!</v>
      </c>
      <c r="E952" s="200" t="e">
        <f>IF(C952="-","-",IF(C952&lt;=D952,"OK","NG"))</f>
        <v>#DIV/0!</v>
      </c>
      <c r="F952" s="200" t="e">
        <f>IF(C952="-","-",D952/C952)</f>
        <v>#DIV/0!</v>
      </c>
      <c r="G952" s="131" t="str">
        <f>IF(B952&gt;=0,B952,"-")</f>
        <v>-</v>
      </c>
      <c r="H952" s="131">
        <f>L783</f>
        <v>379.49646488731116</v>
      </c>
      <c r="I952" s="200" t="str">
        <f>IF(G952="-","-",IF(G952&lt;=H952,"OK","NG"))</f>
        <v>-</v>
      </c>
      <c r="J952" s="203" t="str">
        <f>IF(G952="-","-",H952/G952)</f>
        <v>-</v>
      </c>
    </row>
    <row r="953">
      <c r="A953" s="182">
        <f>A873</f>
        <v>101</v>
      </c>
      <c r="B953" s="131">
        <f>INPUT!AS50</f>
        <v>-0.5613011256267133</v>
      </c>
      <c r="C953" s="131">
        <f>IF(B953&gt;=0,"-",-B953)</f>
        <v>0.5613011256267133</v>
      </c>
      <c r="D953" s="195" t="e">
        <f>G784</f>
        <v>#DIV/0!</v>
      </c>
      <c r="E953" s="200" t="e">
        <f>IF(C953="-","-",IF(C953&lt;=D953,"OK","NG"))</f>
        <v>#DIV/0!</v>
      </c>
      <c r="F953" s="200" t="e">
        <f>IF(C953="-","-",D953/C953)</f>
        <v>#DIV/0!</v>
      </c>
      <c r="G953" s="131" t="str">
        <f>IF(B953&gt;=0,B953,"-")</f>
        <v>-</v>
      </c>
      <c r="H953" s="131">
        <f>L784</f>
        <v>379.49646488731116</v>
      </c>
      <c r="I953" s="200" t="str">
        <f>IF(G953="-","-",IF(G953&lt;=H953,"OK","NG"))</f>
        <v>-</v>
      </c>
      <c r="J953" s="203" t="str">
        <f>IF(G953="-","-",H953/G953)</f>
        <v>-</v>
      </c>
    </row>
    <row r="954">
      <c r="A954" s="182">
        <f>A874</f>
        <v>101</v>
      </c>
      <c r="B954" s="131">
        <f>INPUT!AS51</f>
        <v>-0.5613011256267133</v>
      </c>
      <c r="C954" s="131">
        <f>IF(B954&gt;=0,"-",-B954)</f>
        <v>0.5613011256267133</v>
      </c>
      <c r="D954" s="195" t="e">
        <f>G785</f>
        <v>#DIV/0!</v>
      </c>
      <c r="E954" s="200" t="e">
        <f>IF(C954="-","-",IF(C954&lt;=D954,"OK","NG"))</f>
        <v>#DIV/0!</v>
      </c>
      <c r="F954" s="200" t="e">
        <f>IF(C954="-","-",D954/C954)</f>
        <v>#DIV/0!</v>
      </c>
      <c r="G954" s="131" t="str">
        <f>IF(B954&gt;=0,B954,"-")</f>
        <v>-</v>
      </c>
      <c r="H954" s="131">
        <f>L785</f>
        <v>379.49646488731116</v>
      </c>
      <c r="I954" s="200" t="str">
        <f>IF(G954="-","-",IF(G954&lt;=H954,"OK","NG"))</f>
        <v>-</v>
      </c>
      <c r="J954" s="203" t="str">
        <f>IF(G954="-","-",H954/G954)</f>
        <v>-</v>
      </c>
    </row>
    <row r="955">
      <c r="A955" s="182">
        <f>A875</f>
        <v>101</v>
      </c>
      <c r="B955" s="131">
        <f>INPUT!AS52</f>
        <v>-0.5613011256267133</v>
      </c>
      <c r="C955" s="131">
        <f>IF(B955&gt;=0,"-",-B955)</f>
        <v>0.5613011256267133</v>
      </c>
      <c r="D955" s="195" t="e">
        <f>G786</f>
        <v>#DIV/0!</v>
      </c>
      <c r="E955" s="200" t="e">
        <f>IF(C955="-","-",IF(C955&lt;=D955,"OK","NG"))</f>
        <v>#DIV/0!</v>
      </c>
      <c r="F955" s="200" t="e">
        <f>IF(C955="-","-",D955/C955)</f>
        <v>#DIV/0!</v>
      </c>
      <c r="G955" s="131" t="str">
        <f>IF(B955&gt;=0,B955,"-")</f>
        <v>-</v>
      </c>
      <c r="H955" s="131">
        <f>L786</f>
        <v>379.49646488731116</v>
      </c>
      <c r="I955" s="200" t="str">
        <f>IF(G955="-","-",IF(G955&lt;=H955,"OK","NG"))</f>
        <v>-</v>
      </c>
      <c r="J955" s="203" t="str">
        <f>IF(G955="-","-",H955/G955)</f>
        <v>-</v>
      </c>
    </row>
    <row r="956">
      <c r="A956" s="182">
        <f>A876</f>
        <v>101</v>
      </c>
      <c r="B956" s="131">
        <f>INPUT!AS53</f>
        <v>-0.5613011256267133</v>
      </c>
      <c r="C956" s="131">
        <f>IF(B956&gt;=0,"-",-B956)</f>
        <v>0.5613011256267133</v>
      </c>
      <c r="D956" s="195" t="e">
        <f>G787</f>
        <v>#DIV/0!</v>
      </c>
      <c r="E956" s="200" t="e">
        <f>IF(C956="-","-",IF(C956&lt;=D956,"OK","NG"))</f>
        <v>#DIV/0!</v>
      </c>
      <c r="F956" s="200" t="e">
        <f>IF(C956="-","-",D956/C956)</f>
        <v>#DIV/0!</v>
      </c>
      <c r="G956" s="131" t="str">
        <f>IF(B956&gt;=0,B956,"-")</f>
        <v>-</v>
      </c>
      <c r="H956" s="131">
        <f>L787</f>
        <v>379.49646488731116</v>
      </c>
      <c r="I956" s="200" t="str">
        <f>IF(G956="-","-",IF(G956&lt;=H956,"OK","NG"))</f>
        <v>-</v>
      </c>
      <c r="J956" s="203" t="str">
        <f>IF(G956="-","-",H956/G956)</f>
        <v>-</v>
      </c>
    </row>
    <row r="957">
      <c r="A957" s="182">
        <f>A877</f>
        <v>101</v>
      </c>
      <c r="B957" s="131">
        <f>INPUT!AS54</f>
        <v>-0.5613011256267133</v>
      </c>
      <c r="C957" s="131">
        <f>IF(B957&gt;=0,"-",-B957)</f>
        <v>0.5613011256267133</v>
      </c>
      <c r="D957" s="195" t="e">
        <f>G788</f>
        <v>#DIV/0!</v>
      </c>
      <c r="E957" s="200" t="e">
        <f>IF(C957="-","-",IF(C957&lt;=D957,"OK","NG"))</f>
        <v>#DIV/0!</v>
      </c>
      <c r="F957" s="200" t="e">
        <f>IF(C957="-","-",D957/C957)</f>
        <v>#DIV/0!</v>
      </c>
      <c r="G957" s="131" t="str">
        <f>IF(B957&gt;=0,B957,"-")</f>
        <v>-</v>
      </c>
      <c r="H957" s="131">
        <f>L788</f>
        <v>379.49646488731116</v>
      </c>
      <c r="I957" s="200" t="str">
        <f>IF(G957="-","-",IF(G957&lt;=H957,"OK","NG"))</f>
        <v>-</v>
      </c>
      <c r="J957" s="203" t="str">
        <f>IF(G957="-","-",H957/G957)</f>
        <v>-</v>
      </c>
    </row>
    <row r="958">
      <c r="A958" s="182">
        <f>A878</f>
        <v>101</v>
      </c>
      <c r="B958" s="131">
        <f>INPUT!AS55</f>
        <v>-0.5613011256267133</v>
      </c>
      <c r="C958" s="131">
        <f>IF(B958&gt;=0,"-",-B958)</f>
        <v>0.5613011256267133</v>
      </c>
      <c r="D958" s="195" t="e">
        <f>G789</f>
        <v>#DIV/0!</v>
      </c>
      <c r="E958" s="200" t="e">
        <f>IF(C958="-","-",IF(C958&lt;=D958,"OK","NG"))</f>
        <v>#DIV/0!</v>
      </c>
      <c r="F958" s="200" t="e">
        <f>IF(C958="-","-",D958/C958)</f>
        <v>#DIV/0!</v>
      </c>
      <c r="G958" s="131" t="str">
        <f>IF(B958&gt;=0,B958,"-")</f>
        <v>-</v>
      </c>
      <c r="H958" s="131">
        <f>L789</f>
        <v>379.49646488731116</v>
      </c>
      <c r="I958" s="200" t="str">
        <f>IF(G958="-","-",IF(G958&lt;=H958,"OK","NG"))</f>
        <v>-</v>
      </c>
      <c r="J958" s="203" t="str">
        <f>IF(G958="-","-",H958/G958)</f>
        <v>-</v>
      </c>
    </row>
    <row r="959">
      <c r="A959" s="182">
        <f>A879</f>
        <v>101</v>
      </c>
      <c r="B959" s="131">
        <f>INPUT!AS56</f>
        <v>-0.5613011256267133</v>
      </c>
      <c r="C959" s="131">
        <f>IF(B959&gt;=0,"-",-B959)</f>
        <v>0.5613011256267133</v>
      </c>
      <c r="D959" s="195" t="e">
        <f>G790</f>
        <v>#DIV/0!</v>
      </c>
      <c r="E959" s="200" t="e">
        <f>IF(C959="-","-",IF(C959&lt;=D959,"OK","NG"))</f>
        <v>#DIV/0!</v>
      </c>
      <c r="F959" s="200" t="e">
        <f>IF(C959="-","-",D959/C959)</f>
        <v>#DIV/0!</v>
      </c>
      <c r="G959" s="131" t="str">
        <f>IF(B959&gt;=0,B959,"-")</f>
        <v>-</v>
      </c>
      <c r="H959" s="131">
        <f>L790</f>
        <v>379.49646488731116</v>
      </c>
      <c r="I959" s="200" t="str">
        <f>IF(G959="-","-",IF(G959&lt;=H959,"OK","NG"))</f>
        <v>-</v>
      </c>
      <c r="J959" s="203" t="str">
        <f>IF(G959="-","-",H959/G959)</f>
        <v>-</v>
      </c>
    </row>
    <row r="960">
      <c r="A960" s="182">
        <f>A880</f>
        <v>101</v>
      </c>
      <c r="B960" s="131">
        <f>INPUT!AS57</f>
        <v>-0.5613011256267133</v>
      </c>
      <c r="C960" s="131">
        <f>IF(B960&gt;=0,"-",-B960)</f>
        <v>0.5613011256267133</v>
      </c>
      <c r="D960" s="195" t="e">
        <f>G791</f>
        <v>#DIV/0!</v>
      </c>
      <c r="E960" s="200" t="e">
        <f>IF(C960="-","-",IF(C960&lt;=D960,"OK","NG"))</f>
        <v>#DIV/0!</v>
      </c>
      <c r="F960" s="200" t="e">
        <f>IF(C960="-","-",D960/C960)</f>
        <v>#DIV/0!</v>
      </c>
      <c r="G960" s="131" t="str">
        <f>IF(B960&gt;=0,B960,"-")</f>
        <v>-</v>
      </c>
      <c r="H960" s="131">
        <f>L791</f>
        <v>379.49646488731116</v>
      </c>
      <c r="I960" s="200" t="str">
        <f>IF(G960="-","-",IF(G960&lt;=H960,"OK","NG"))</f>
        <v>-</v>
      </c>
      <c r="J960" s="203" t="str">
        <f>IF(G960="-","-",H960/G960)</f>
        <v>-</v>
      </c>
    </row>
    <row r="961">
      <c r="A961" s="182">
        <f>A881</f>
        <v>101</v>
      </c>
      <c r="B961" s="131">
        <f>INPUT!AS58</f>
        <v>-0.5613011256267133</v>
      </c>
      <c r="C961" s="131">
        <f>IF(B961&gt;=0,"-",-B961)</f>
        <v>0.5613011256267133</v>
      </c>
      <c r="D961" s="195" t="e">
        <f>G792</f>
        <v>#DIV/0!</v>
      </c>
      <c r="E961" s="200" t="e">
        <f>IF(C961="-","-",IF(C961&lt;=D961,"OK","NG"))</f>
        <v>#DIV/0!</v>
      </c>
      <c r="F961" s="200" t="e">
        <f>IF(C961="-","-",D961/C961)</f>
        <v>#DIV/0!</v>
      </c>
      <c r="G961" s="131" t="str">
        <f>IF(B961&gt;=0,B961,"-")</f>
        <v>-</v>
      </c>
      <c r="H961" s="131">
        <f>L792</f>
        <v>379.49646488731116</v>
      </c>
      <c r="I961" s="200" t="str">
        <f>IF(G961="-","-",IF(G961&lt;=H961,"OK","NG"))</f>
        <v>-</v>
      </c>
      <c r="J961" s="203" t="str">
        <f>IF(G961="-","-",H961/G961)</f>
        <v>-</v>
      </c>
    </row>
    <row r="962">
      <c r="A962" s="182">
        <f>A882</f>
        <v>101</v>
      </c>
      <c r="B962" s="131">
        <f>INPUT!AS59</f>
        <v>-0.5613011256267133</v>
      </c>
      <c r="C962" s="131">
        <f>IF(B962&gt;=0,"-",-B962)</f>
        <v>0.5613011256267133</v>
      </c>
      <c r="D962" s="195" t="e">
        <f>G793</f>
        <v>#DIV/0!</v>
      </c>
      <c r="E962" s="200" t="e">
        <f>IF(C962="-","-",IF(C962&lt;=D962,"OK","NG"))</f>
        <v>#DIV/0!</v>
      </c>
      <c r="F962" s="200" t="e">
        <f>IF(C962="-","-",D962/C962)</f>
        <v>#DIV/0!</v>
      </c>
      <c r="G962" s="131" t="str">
        <f>IF(B962&gt;=0,B962,"-")</f>
        <v>-</v>
      </c>
      <c r="H962" s="131">
        <f>L793</f>
        <v>379.49646488731116</v>
      </c>
      <c r="I962" s="200" t="str">
        <f>IF(G962="-","-",IF(G962&lt;=H962,"OK","NG"))</f>
        <v>-</v>
      </c>
      <c r="J962" s="203" t="str">
        <f>IF(G962="-","-",H962/G962)</f>
        <v>-</v>
      </c>
    </row>
    <row r="963">
      <c r="A963" s="182">
        <f>A883</f>
        <v>101</v>
      </c>
      <c r="B963" s="131">
        <f>INPUT!AS60</f>
        <v>-0.5613011256267133</v>
      </c>
      <c r="C963" s="131">
        <f>IF(B963&gt;=0,"-",-B963)</f>
        <v>0.5613011256267133</v>
      </c>
      <c r="D963" s="195" t="e">
        <f>G794</f>
        <v>#DIV/0!</v>
      </c>
      <c r="E963" s="200" t="e">
        <f>IF(C963="-","-",IF(C963&lt;=D963,"OK","NG"))</f>
        <v>#DIV/0!</v>
      </c>
      <c r="F963" s="200" t="e">
        <f>IF(C963="-","-",D963/C963)</f>
        <v>#DIV/0!</v>
      </c>
      <c r="G963" s="131" t="str">
        <f>IF(B963&gt;=0,B963,"-")</f>
        <v>-</v>
      </c>
      <c r="H963" s="131">
        <f>L794</f>
        <v>379.49646488731116</v>
      </c>
      <c r="I963" s="200" t="str">
        <f>IF(G963="-","-",IF(G963&lt;=H963,"OK","NG"))</f>
        <v>-</v>
      </c>
      <c r="J963" s="203" t="str">
        <f>IF(G963="-","-",H963/G963)</f>
        <v>-</v>
      </c>
    </row>
    <row r="964">
      <c r="A964" s="182">
        <f>A884</f>
        <v>101</v>
      </c>
      <c r="B964" s="131">
        <f>INPUT!AS61</f>
        <v>-0.5613011256267133</v>
      </c>
      <c r="C964" s="131">
        <f>IF(B964&gt;=0,"-",-B964)</f>
        <v>0.5613011256267133</v>
      </c>
      <c r="D964" s="195" t="e">
        <f>G795</f>
        <v>#DIV/0!</v>
      </c>
      <c r="E964" s="200" t="e">
        <f>IF(C964="-","-",IF(C964&lt;=D964,"OK","NG"))</f>
        <v>#DIV/0!</v>
      </c>
      <c r="F964" s="200" t="e">
        <f>IF(C964="-","-",D964/C964)</f>
        <v>#DIV/0!</v>
      </c>
      <c r="G964" s="131" t="str">
        <f>IF(B964&gt;=0,B964,"-")</f>
        <v>-</v>
      </c>
      <c r="H964" s="131">
        <f>L795</f>
        <v>379.49646488731116</v>
      </c>
      <c r="I964" s="200" t="str">
        <f>IF(G964="-","-",IF(G964&lt;=H964,"OK","NG"))</f>
        <v>-</v>
      </c>
      <c r="J964" s="203" t="str">
        <f>IF(G964="-","-",H964/G964)</f>
        <v>-</v>
      </c>
    </row>
    <row r="965">
      <c r="A965" s="182">
        <f>A885</f>
        <v>101</v>
      </c>
      <c r="B965" s="131">
        <f>INPUT!AS62</f>
        <v>-0.5613011256267133</v>
      </c>
      <c r="C965" s="131">
        <f>IF(B965&gt;=0,"-",-B965)</f>
        <v>0.5613011256267133</v>
      </c>
      <c r="D965" s="195" t="e">
        <f>G796</f>
        <v>#DIV/0!</v>
      </c>
      <c r="E965" s="200" t="e">
        <f>IF(C965="-","-",IF(C965&lt;=D965,"OK","NG"))</f>
        <v>#DIV/0!</v>
      </c>
      <c r="F965" s="200" t="e">
        <f>IF(C965="-","-",D965/C965)</f>
        <v>#DIV/0!</v>
      </c>
      <c r="G965" s="131" t="str">
        <f>IF(B965&gt;=0,B965,"-")</f>
        <v>-</v>
      </c>
      <c r="H965" s="131">
        <f>L796</f>
        <v>379.49646488731116</v>
      </c>
      <c r="I965" s="200" t="str">
        <f>IF(G965="-","-",IF(G965&lt;=H965,"OK","NG"))</f>
        <v>-</v>
      </c>
      <c r="J965" s="203" t="str">
        <f>IF(G965="-","-",H965/G965)</f>
        <v>-</v>
      </c>
    </row>
    <row r="966">
      <c r="A966" s="182">
        <f>A886</f>
        <v>101</v>
      </c>
      <c r="B966" s="131">
        <f>INPUT!AS63</f>
        <v>-0.5613011256267133</v>
      </c>
      <c r="C966" s="131">
        <f>IF(B966&gt;=0,"-",-B966)</f>
        <v>0.5613011256267133</v>
      </c>
      <c r="D966" s="195" t="e">
        <f>G797</f>
        <v>#DIV/0!</v>
      </c>
      <c r="E966" s="200" t="e">
        <f>IF(C966="-","-",IF(C966&lt;=D966,"OK","NG"))</f>
        <v>#DIV/0!</v>
      </c>
      <c r="F966" s="200" t="e">
        <f>IF(C966="-","-",D966/C966)</f>
        <v>#DIV/0!</v>
      </c>
      <c r="G966" s="131" t="str">
        <f>IF(B966&gt;=0,B966,"-")</f>
        <v>-</v>
      </c>
      <c r="H966" s="131">
        <f>L797</f>
        <v>379.49646488731116</v>
      </c>
      <c r="I966" s="200" t="str">
        <f>IF(G966="-","-",IF(G966&lt;=H966,"OK","NG"))</f>
        <v>-</v>
      </c>
      <c r="J966" s="203" t="str">
        <f>IF(G966="-","-",H966/G966)</f>
        <v>-</v>
      </c>
    </row>
    <row r="967">
      <c r="A967" s="182">
        <f>A887</f>
        <v>101</v>
      </c>
      <c r="B967" s="131">
        <f>INPUT!AS64</f>
        <v>-0.5613011256267133</v>
      </c>
      <c r="C967" s="131">
        <f>IF(B967&gt;=0,"-",-B967)</f>
        <v>0.5613011256267133</v>
      </c>
      <c r="D967" s="195" t="e">
        <f>G798</f>
        <v>#DIV/0!</v>
      </c>
      <c r="E967" s="200" t="e">
        <f>IF(C967="-","-",IF(C967&lt;=D967,"OK","NG"))</f>
        <v>#DIV/0!</v>
      </c>
      <c r="F967" s="200" t="e">
        <f>IF(C967="-","-",D967/C967)</f>
        <v>#DIV/0!</v>
      </c>
      <c r="G967" s="131" t="str">
        <f>IF(B967&gt;=0,B967,"-")</f>
        <v>-</v>
      </c>
      <c r="H967" s="131">
        <f>L798</f>
        <v>379.49646488731116</v>
      </c>
      <c r="I967" s="200" t="str">
        <f>IF(G967="-","-",IF(G967&lt;=H967,"OK","NG"))</f>
        <v>-</v>
      </c>
      <c r="J967" s="203" t="str">
        <f>IF(G967="-","-",H967/G967)</f>
        <v>-</v>
      </c>
    </row>
    <row r="968">
      <c r="A968" s="182">
        <f>A888</f>
        <v>101</v>
      </c>
      <c r="B968" s="131">
        <f>INPUT!AS65</f>
        <v>-0.5613011256267133</v>
      </c>
      <c r="C968" s="131">
        <f>IF(B968&gt;=0,"-",-B968)</f>
        <v>0.5613011256267133</v>
      </c>
      <c r="D968" s="195" t="e">
        <f>G799</f>
        <v>#DIV/0!</v>
      </c>
      <c r="E968" s="200" t="e">
        <f>IF(C968="-","-",IF(C968&lt;=D968,"OK","NG"))</f>
        <v>#DIV/0!</v>
      </c>
      <c r="F968" s="200" t="e">
        <f>IF(C968="-","-",D968/C968)</f>
        <v>#DIV/0!</v>
      </c>
      <c r="G968" s="131" t="str">
        <f>IF(B968&gt;=0,B968,"-")</f>
        <v>-</v>
      </c>
      <c r="H968" s="131">
        <f>L799</f>
        <v>379.49646488731116</v>
      </c>
      <c r="I968" s="200" t="str">
        <f>IF(G968="-","-",IF(G968&lt;=H968,"OK","NG"))</f>
        <v>-</v>
      </c>
      <c r="J968" s="203" t="str">
        <f>IF(G968="-","-",H968/G968)</f>
        <v>-</v>
      </c>
    </row>
    <row r="969">
      <c r="A969" s="182">
        <f>A889</f>
        <v>101</v>
      </c>
      <c r="B969" s="131">
        <f>INPUT!AS66</f>
        <v>-0.5613011256267133</v>
      </c>
      <c r="C969" s="131">
        <f>IF(B969&gt;=0,"-",-B969)</f>
        <v>0.5613011256267133</v>
      </c>
      <c r="D969" s="195" t="e">
        <f>G800</f>
        <v>#DIV/0!</v>
      </c>
      <c r="E969" s="200" t="e">
        <f>IF(C969="-","-",IF(C969&lt;=D969,"OK","NG"))</f>
        <v>#DIV/0!</v>
      </c>
      <c r="F969" s="200" t="e">
        <f>IF(C969="-","-",D969/C969)</f>
        <v>#DIV/0!</v>
      </c>
      <c r="G969" s="131" t="str">
        <f>IF(B969&gt;=0,B969,"-")</f>
        <v>-</v>
      </c>
      <c r="H969" s="131">
        <f>L800</f>
        <v>379.49646488731116</v>
      </c>
      <c r="I969" s="200" t="str">
        <f>IF(G969="-","-",IF(G969&lt;=H969,"OK","NG"))</f>
        <v>-</v>
      </c>
      <c r="J969" s="203" t="str">
        <f>IF(G969="-","-",H969/G969)</f>
        <v>-</v>
      </c>
    </row>
    <row r="970">
      <c r="A970" s="182">
        <f>A890</f>
        <v>101</v>
      </c>
      <c r="B970" s="131">
        <f>INPUT!AS67</f>
        <v>-0.5613011256267133</v>
      </c>
      <c r="C970" s="131">
        <f>IF(B970&gt;=0,"-",-B970)</f>
        <v>0.5613011256267133</v>
      </c>
      <c r="D970" s="195" t="e">
        <f>G801</f>
        <v>#DIV/0!</v>
      </c>
      <c r="E970" s="200" t="e">
        <f>IF(C970="-","-",IF(C970&lt;=D970,"OK","NG"))</f>
        <v>#DIV/0!</v>
      </c>
      <c r="F970" s="200" t="e">
        <f>IF(C970="-","-",D970/C970)</f>
        <v>#DIV/0!</v>
      </c>
      <c r="G970" s="131" t="str">
        <f>IF(B970&gt;=0,B970,"-")</f>
        <v>-</v>
      </c>
      <c r="H970" s="131">
        <f>L801</f>
        <v>379.49646488731116</v>
      </c>
      <c r="I970" s="200" t="str">
        <f>IF(G970="-","-",IF(G970&lt;=H970,"OK","NG"))</f>
        <v>-</v>
      </c>
      <c r="J970" s="203" t="str">
        <f>IF(G970="-","-",H970/G970)</f>
        <v>-</v>
      </c>
    </row>
    <row r="971">
      <c r="A971" s="182">
        <f>A891</f>
        <v>101</v>
      </c>
      <c r="B971" s="131">
        <f>INPUT!AS68</f>
        <v>-0.5613011256267133</v>
      </c>
      <c r="C971" s="131">
        <f>IF(B971&gt;=0,"-",-B971)</f>
        <v>0.5613011256267133</v>
      </c>
      <c r="D971" s="195" t="e">
        <f>G802</f>
        <v>#DIV/0!</v>
      </c>
      <c r="E971" s="200" t="e">
        <f>IF(C971="-","-",IF(C971&lt;=D971,"OK","NG"))</f>
        <v>#DIV/0!</v>
      </c>
      <c r="F971" s="200" t="e">
        <f>IF(C971="-","-",D971/C971)</f>
        <v>#DIV/0!</v>
      </c>
      <c r="G971" s="131" t="str">
        <f>IF(B971&gt;=0,B971,"-")</f>
        <v>-</v>
      </c>
      <c r="H971" s="131">
        <f>L802</f>
        <v>379.49646488731116</v>
      </c>
      <c r="I971" s="200" t="str">
        <f>IF(G971="-","-",IF(G971&lt;=H971,"OK","NG"))</f>
        <v>-</v>
      </c>
      <c r="J971" s="203" t="str">
        <f>IF(G971="-","-",H971/G971)</f>
        <v>-</v>
      </c>
    </row>
    <row r="972">
      <c r="A972" s="182">
        <f>A892</f>
        <v>101</v>
      </c>
      <c r="B972" s="131">
        <f>INPUT!AS69</f>
        <v>-0.5613011256267133</v>
      </c>
      <c r="C972" s="131">
        <f>IF(B972&gt;=0,"-",-B972)</f>
        <v>0.5613011256267133</v>
      </c>
      <c r="D972" s="195" t="e">
        <f>G803</f>
        <v>#DIV/0!</v>
      </c>
      <c r="E972" s="200" t="e">
        <f>IF(C972="-","-",IF(C972&lt;=D972,"OK","NG"))</f>
        <v>#DIV/0!</v>
      </c>
      <c r="F972" s="200" t="e">
        <f>IF(C972="-","-",D972/C972)</f>
        <v>#DIV/0!</v>
      </c>
      <c r="G972" s="131" t="str">
        <f>IF(B972&gt;=0,B972,"-")</f>
        <v>-</v>
      </c>
      <c r="H972" s="131">
        <f>L803</f>
        <v>379.49646488731116</v>
      </c>
      <c r="I972" s="200" t="str">
        <f>IF(G972="-","-",IF(G972&lt;=H972,"OK","NG"))</f>
        <v>-</v>
      </c>
      <c r="J972" s="203" t="str">
        <f>IF(G972="-","-",H972/G972)</f>
        <v>-</v>
      </c>
    </row>
    <row r="973">
      <c r="A973" s="182">
        <f>A893</f>
        <v>101</v>
      </c>
      <c r="B973" s="131">
        <f>INPUT!AS70</f>
        <v>-0.5613011256267133</v>
      </c>
      <c r="C973" s="131">
        <f>IF(B973&gt;=0,"-",-B973)</f>
        <v>0.5613011256267133</v>
      </c>
      <c r="D973" s="195" t="e">
        <f>G804</f>
        <v>#DIV/0!</v>
      </c>
      <c r="E973" s="200" t="e">
        <f>IF(C973="-","-",IF(C973&lt;=D973,"OK","NG"))</f>
        <v>#DIV/0!</v>
      </c>
      <c r="F973" s="200" t="e">
        <f>IF(C973="-","-",D973/C973)</f>
        <v>#DIV/0!</v>
      </c>
      <c r="G973" s="131" t="str">
        <f>IF(B973&gt;=0,B973,"-")</f>
        <v>-</v>
      </c>
      <c r="H973" s="131">
        <f>L804</f>
        <v>379.49646488731116</v>
      </c>
      <c r="I973" s="200" t="str">
        <f>IF(G973="-","-",IF(G973&lt;=H973,"OK","NG"))</f>
        <v>-</v>
      </c>
      <c r="J973" s="203" t="str">
        <f>IF(G973="-","-",H973/G973)</f>
        <v>-</v>
      </c>
    </row>
    <row r="974">
      <c r="A974" s="182">
        <f>A894</f>
        <v>101</v>
      </c>
      <c r="B974" s="131">
        <f>INPUT!AS71</f>
        <v>-0.5613011256267133</v>
      </c>
      <c r="C974" s="131">
        <f>IF(B974&gt;=0,"-",-B974)</f>
        <v>0.5613011256267133</v>
      </c>
      <c r="D974" s="195" t="e">
        <f>G805</f>
        <v>#DIV/0!</v>
      </c>
      <c r="E974" s="200" t="e">
        <f>IF(C974="-","-",IF(C974&lt;=D974,"OK","NG"))</f>
        <v>#DIV/0!</v>
      </c>
      <c r="F974" s="200" t="e">
        <f>IF(C974="-","-",D974/C974)</f>
        <v>#DIV/0!</v>
      </c>
      <c r="G974" s="131" t="str">
        <f>IF(B974&gt;=0,B974,"-")</f>
        <v>-</v>
      </c>
      <c r="H974" s="131">
        <f>L805</f>
        <v>379.49646488731116</v>
      </c>
      <c r="I974" s="200" t="str">
        <f>IF(G974="-","-",IF(G974&lt;=H974,"OK","NG"))</f>
        <v>-</v>
      </c>
      <c r="J974" s="203" t="str">
        <f>IF(G974="-","-",H974/G974)</f>
        <v>-</v>
      </c>
    </row>
    <row r="975">
      <c r="A975" s="182">
        <f>A895</f>
        <v>101</v>
      </c>
      <c r="B975" s="131">
        <f>INPUT!AS72</f>
        <v>-0.5613011256267133</v>
      </c>
      <c r="C975" s="131">
        <f>IF(B975&gt;=0,"-",-B975)</f>
        <v>0.5613011256267133</v>
      </c>
      <c r="D975" s="195" t="e">
        <f>G806</f>
        <v>#DIV/0!</v>
      </c>
      <c r="E975" s="200" t="e">
        <f>IF(C975="-","-",IF(C975&lt;=D975,"OK","NG"))</f>
        <v>#DIV/0!</v>
      </c>
      <c r="F975" s="200" t="e">
        <f>IF(C975="-","-",D975/C975)</f>
        <v>#DIV/0!</v>
      </c>
      <c r="G975" s="131" t="str">
        <f>IF(B975&gt;=0,B975,"-")</f>
        <v>-</v>
      </c>
      <c r="H975" s="131">
        <f>L806</f>
        <v>379.49646488731116</v>
      </c>
      <c r="I975" s="200" t="str">
        <f>IF(G975="-","-",IF(G975&lt;=H975,"OK","NG"))</f>
        <v>-</v>
      </c>
      <c r="J975" s="203" t="str">
        <f>IF(G975="-","-",H975/G975)</f>
        <v>-</v>
      </c>
    </row>
    <row r="976">
      <c r="A976" s="182">
        <f>A896</f>
        <v>101</v>
      </c>
      <c r="B976" s="131">
        <f>INPUT!AS73</f>
        <v>-0.5613011256267133</v>
      </c>
      <c r="C976" s="131">
        <f>IF(B976&gt;=0,"-",-B976)</f>
        <v>0.5613011256267133</v>
      </c>
      <c r="D976" s="195" t="e">
        <f>G807</f>
        <v>#DIV/0!</v>
      </c>
      <c r="E976" s="200" t="e">
        <f>IF(C976="-","-",IF(C976&lt;=D976,"OK","NG"))</f>
        <v>#DIV/0!</v>
      </c>
      <c r="F976" s="200" t="e">
        <f>IF(C976="-","-",D976/C976)</f>
        <v>#DIV/0!</v>
      </c>
      <c r="G976" s="131" t="str">
        <f>IF(B976&gt;=0,B976,"-")</f>
        <v>-</v>
      </c>
      <c r="H976" s="131">
        <f>L807</f>
        <v>379.49646488731116</v>
      </c>
      <c r="I976" s="200" t="str">
        <f>IF(G976="-","-",IF(G976&lt;=H976,"OK","NG"))</f>
        <v>-</v>
      </c>
      <c r="J976" s="203" t="str">
        <f>IF(G976="-","-",H976/G976)</f>
        <v>-</v>
      </c>
    </row>
    <row r="977">
      <c r="A977" s="182">
        <f>A897</f>
        <v>101</v>
      </c>
      <c r="B977" s="131">
        <f>INPUT!AS74</f>
        <v>-0.5613011256267133</v>
      </c>
      <c r="C977" s="131">
        <f>IF(B977&gt;=0,"-",-B977)</f>
        <v>0.5613011256267133</v>
      </c>
      <c r="D977" s="195" t="e">
        <f>G808</f>
        <v>#DIV/0!</v>
      </c>
      <c r="E977" s="200" t="e">
        <f>IF(C977="-","-",IF(C977&lt;=D977,"OK","NG"))</f>
        <v>#DIV/0!</v>
      </c>
      <c r="F977" s="200" t="e">
        <f>IF(C977="-","-",D977/C977)</f>
        <v>#DIV/0!</v>
      </c>
      <c r="G977" s="131" t="str">
        <f>IF(B977&gt;=0,B977,"-")</f>
        <v>-</v>
      </c>
      <c r="H977" s="131">
        <f>L808</f>
        <v>379.49646488731116</v>
      </c>
      <c r="I977" s="200" t="str">
        <f>IF(G977="-","-",IF(G977&lt;=H977,"OK","NG"))</f>
        <v>-</v>
      </c>
      <c r="J977" s="203" t="str">
        <f>IF(G977="-","-",H977/G977)</f>
        <v>-</v>
      </c>
    </row>
    <row r="978">
      <c r="A978" s="182">
        <f>A898</f>
        <v>101</v>
      </c>
      <c r="B978" s="131">
        <f>INPUT!AS75</f>
        <v>-0.5613011256267133</v>
      </c>
      <c r="C978" s="131">
        <f>IF(B978&gt;=0,"-",-B978)</f>
        <v>0.5613011256267133</v>
      </c>
      <c r="D978" s="195" t="e">
        <f>G809</f>
        <v>#DIV/0!</v>
      </c>
      <c r="E978" s="200" t="e">
        <f>IF(C978="-","-",IF(C978&lt;=D978,"OK","NG"))</f>
        <v>#DIV/0!</v>
      </c>
      <c r="F978" s="200" t="e">
        <f>IF(C978="-","-",D978/C978)</f>
        <v>#DIV/0!</v>
      </c>
      <c r="G978" s="131" t="str">
        <f>IF(B978&gt;=0,B978,"-")</f>
        <v>-</v>
      </c>
      <c r="H978" s="131">
        <f>L809</f>
        <v>379.49646488731116</v>
      </c>
      <c r="I978" s="200" t="str">
        <f>IF(G978="-","-",IF(G978&lt;=H978,"OK","NG"))</f>
        <v>-</v>
      </c>
      <c r="J978" s="203" t="str">
        <f>IF(G978="-","-",H978/G978)</f>
        <v>-</v>
      </c>
    </row>
    <row r="979">
      <c r="A979" s="182">
        <f>A899</f>
        <v>101</v>
      </c>
      <c r="B979" s="131">
        <f>INPUT!AS76</f>
        <v>-0.5613011256267133</v>
      </c>
      <c r="C979" s="131">
        <f>IF(B979&gt;=0,"-",-B979)</f>
        <v>0.5613011256267133</v>
      </c>
      <c r="D979" s="195" t="e">
        <f>G810</f>
        <v>#DIV/0!</v>
      </c>
      <c r="E979" s="200" t="e">
        <f>IF(C979="-","-",IF(C979&lt;=D979,"OK","NG"))</f>
        <v>#DIV/0!</v>
      </c>
      <c r="F979" s="200" t="e">
        <f>IF(C979="-","-",D979/C979)</f>
        <v>#DIV/0!</v>
      </c>
      <c r="G979" s="131" t="str">
        <f>IF(B979&gt;=0,B979,"-")</f>
        <v>-</v>
      </c>
      <c r="H979" s="131">
        <f>L810</f>
        <v>379.49646488731116</v>
      </c>
      <c r="I979" s="200" t="str">
        <f>IF(G979="-","-",IF(G979&lt;=H979,"OK","NG"))</f>
        <v>-</v>
      </c>
      <c r="J979" s="203" t="str">
        <f>IF(G979="-","-",H979/G979)</f>
        <v>-</v>
      </c>
    </row>
    <row r="980">
      <c r="A980" s="182">
        <f>A900</f>
        <v>101</v>
      </c>
      <c r="B980" s="131">
        <f>INPUT!AS77</f>
        <v>-0.5613011256267133</v>
      </c>
      <c r="C980" s="131">
        <f>IF(B980&gt;=0,"-",-B980)</f>
        <v>0.5613011256267133</v>
      </c>
      <c r="D980" s="195" t="e">
        <f>G811</f>
        <v>#DIV/0!</v>
      </c>
      <c r="E980" s="200" t="e">
        <f>IF(C980="-","-",IF(C980&lt;=D980,"OK","NG"))</f>
        <v>#DIV/0!</v>
      </c>
      <c r="F980" s="200" t="e">
        <f>IF(C980="-","-",D980/C980)</f>
        <v>#DIV/0!</v>
      </c>
      <c r="G980" s="131" t="str">
        <f>IF(B980&gt;=0,B980,"-")</f>
        <v>-</v>
      </c>
      <c r="H980" s="131">
        <f>L811</f>
        <v>379.49646488731116</v>
      </c>
      <c r="I980" s="200" t="str">
        <f>IF(G980="-","-",IF(G980&lt;=H980,"OK","NG"))</f>
        <v>-</v>
      </c>
      <c r="J980" s="203" t="str">
        <f>IF(G980="-","-",H980/G980)</f>
        <v>-</v>
      </c>
    </row>
    <row r="981">
      <c r="A981" s="182">
        <f>A901</f>
        <v>101</v>
      </c>
      <c r="B981" s="131">
        <f>INPUT!AS78</f>
        <v>-0.5613011256267133</v>
      </c>
      <c r="C981" s="131">
        <f>IF(B981&gt;=0,"-",-B981)</f>
        <v>0.5613011256267133</v>
      </c>
      <c r="D981" s="195" t="e">
        <f>G812</f>
        <v>#DIV/0!</v>
      </c>
      <c r="E981" s="200" t="e">
        <f>IF(C981="-","-",IF(C981&lt;=D981,"OK","NG"))</f>
        <v>#DIV/0!</v>
      </c>
      <c r="F981" s="200" t="e">
        <f>IF(C981="-","-",D981/C981)</f>
        <v>#DIV/0!</v>
      </c>
      <c r="G981" s="131" t="str">
        <f>IF(B981&gt;=0,B981,"-")</f>
        <v>-</v>
      </c>
      <c r="H981" s="131">
        <f>L812</f>
        <v>379.49646488731116</v>
      </c>
      <c r="I981" s="200" t="str">
        <f>IF(G981="-","-",IF(G981&lt;=H981,"OK","NG"))</f>
        <v>-</v>
      </c>
      <c r="J981" s="203" t="str">
        <f>IF(G981="-","-",H981/G981)</f>
        <v>-</v>
      </c>
    </row>
    <row r="983"/>
    <row r="984" ht="15" customHeight="1">
      <c r="A984" s="11"/>
      <c r="B984" s="40" t="s">
        <v>445</v>
      </c>
      <c r="C984" s="105"/>
      <c r="D984" s="105"/>
      <c r="E984" s="105"/>
      <c r="F984" s="105"/>
      <c r="G984" s="105"/>
      <c r="H984" s="4"/>
      <c r="I984" s="4"/>
      <c r="J984" s="4"/>
      <c r="K984" s="4"/>
      <c r="L984" s="5"/>
      <c r="M984" s="4"/>
      <c r="N984" s="68" t="s">
        <v>446</v>
      </c>
    </row>
    <row r="985" ht="15" customHeight="1">
      <c r="A985" s="11"/>
      <c r="B985" s="40"/>
      <c r="C985" s="105"/>
      <c r="D985" s="105"/>
      <c r="E985" s="105"/>
      <c r="F985" s="105"/>
      <c r="G985" s="105"/>
      <c r="H985" s="4"/>
      <c r="I985" s="4"/>
      <c r="J985" s="4"/>
      <c r="K985" s="4"/>
      <c r="L985" s="5"/>
      <c r="M985" s="4"/>
      <c r="N985" s="4"/>
      <c r="O985" s="389"/>
    </row>
    <row r="986" ht="20.1" customHeight="1">
      <c r="A986" s="40"/>
      <c r="B986" s="19"/>
      <c r="C986" s="41"/>
      <c r="D986" s="42"/>
      <c r="E986" s="43" t="s">
        <v>447</v>
      </c>
      <c r="F986" s="42"/>
      <c r="G986" s="44"/>
      <c r="H986" s="45"/>
      <c r="I986" s="4"/>
      <c r="J986" s="4"/>
      <c r="K986" s="4"/>
      <c r="L986" s="5"/>
      <c r="M986" s="4"/>
      <c r="N986" s="4"/>
      <c r="O986" s="296"/>
    </row>
    <row r="987" ht="15" customHeight="1">
      <c r="A987" s="11"/>
      <c r="B987" s="40"/>
      <c r="C987" s="153"/>
      <c r="D987" s="105"/>
      <c r="E987" s="105"/>
      <c r="F987" s="105"/>
      <c r="G987" s="105"/>
      <c r="H987" s="4"/>
      <c r="I987" s="4"/>
      <c r="J987" s="4"/>
      <c r="K987" s="4"/>
      <c r="L987" s="5"/>
      <c r="M987" s="4"/>
      <c r="N987" s="4"/>
      <c r="O987" s="296"/>
    </row>
    <row r="988" ht="15" customHeight="1">
      <c r="A988" s="11"/>
      <c r="B988" s="40"/>
      <c r="C988" s="154" t="s">
        <v>448</v>
      </c>
      <c r="D988" s="105"/>
      <c r="E988" s="105"/>
      <c r="F988" s="105"/>
      <c r="G988" s="105"/>
      <c r="H988" s="4"/>
      <c r="I988" s="4"/>
      <c r="J988" s="4"/>
      <c r="K988" s="4"/>
      <c r="L988" s="5"/>
      <c r="M988" s="4"/>
      <c r="N988" s="4"/>
      <c r="O988" s="296"/>
    </row>
    <row r="989" ht="15" customHeight="1">
      <c r="A989" s="11"/>
      <c r="B989" s="40"/>
      <c r="C989" s="4"/>
      <c r="D989" s="105"/>
      <c r="E989" s="105"/>
      <c r="F989" s="105"/>
      <c r="G989" s="105"/>
      <c r="H989" s="4"/>
      <c r="I989" s="4"/>
      <c r="J989" s="4"/>
      <c r="K989" s="4"/>
      <c r="L989" s="5"/>
      <c r="M989" s="4"/>
      <c r="N989" s="4"/>
      <c r="O989" s="296"/>
    </row>
    <row r="990" ht="15" customHeight="1">
      <c r="A990" s="11"/>
      <c r="B990" s="111" t="s">
        <v>197</v>
      </c>
      <c r="C990" s="62" t="s">
        <v>449</v>
      </c>
      <c r="D990" s="105"/>
      <c r="E990" s="105"/>
      <c r="F990" s="105"/>
      <c r="G990" s="105"/>
      <c r="H990" s="4"/>
      <c r="I990" s="4"/>
      <c r="J990" s="4"/>
      <c r="K990" s="4"/>
      <c r="L990" s="5"/>
      <c r="M990" s="4"/>
      <c r="N990" s="4"/>
      <c r="O990" s="296"/>
    </row>
    <row r="991" ht="15" customHeight="1">
      <c r="A991" s="11"/>
      <c r="B991" s="40"/>
      <c r="C991" s="46" t="s">
        <v>163</v>
      </c>
      <c r="D991" s="46"/>
      <c r="E991" s="46"/>
      <c r="F991" s="46"/>
      <c r="G991" s="46"/>
      <c r="H991" s="46" t="s">
        <v>450</v>
      </c>
      <c r="I991" s="46"/>
      <c r="J991" s="46"/>
      <c r="K991" s="46"/>
      <c r="L991" s="46"/>
      <c r="M991" s="4"/>
      <c r="N991" s="4"/>
      <c r="O991" s="296"/>
    </row>
    <row r="992" ht="15" customHeight="1">
      <c r="A992" s="11"/>
      <c r="B992" s="40"/>
      <c r="C992" s="155" t="s">
        <v>451</v>
      </c>
      <c r="D992" s="504" t="s">
        <v>452</v>
      </c>
      <c r="E992" s="504"/>
      <c r="F992" s="48"/>
      <c r="G992" s="4"/>
      <c r="H992" s="493" t="s">
        <v>453</v>
      </c>
      <c r="I992" s="493"/>
      <c r="J992" s="493"/>
      <c r="K992" s="493"/>
      <c r="L992" s="48"/>
      <c r="M992" s="4"/>
      <c r="N992" s="4"/>
      <c r="O992" s="296"/>
    </row>
    <row r="993" ht="15" customHeight="1">
      <c r="A993" s="11"/>
      <c r="B993" s="40"/>
      <c r="C993" s="5" t="s">
        <v>353</v>
      </c>
      <c r="D993" s="492"/>
      <c r="E993" s="492"/>
      <c r="F993" s="4"/>
      <c r="G993" s="4"/>
      <c r="H993" s="505"/>
      <c r="I993" s="505"/>
      <c r="J993" s="505"/>
      <c r="K993" s="505"/>
      <c r="L993" s="4"/>
      <c r="M993" s="4"/>
      <c r="N993" s="4"/>
      <c r="O993" s="296"/>
    </row>
    <row r="994" ht="15" customHeight="1">
      <c r="A994" s="11"/>
      <c r="B994" s="40"/>
      <c r="C994" s="63" t="s">
        <v>451</v>
      </c>
      <c r="D994" s="492" t="s">
        <v>454</v>
      </c>
      <c r="E994" s="492"/>
      <c r="F994" s="4"/>
      <c r="G994" s="4"/>
      <c r="H994" s="505" t="s">
        <v>455</v>
      </c>
      <c r="I994" s="505"/>
      <c r="J994" s="505"/>
      <c r="K994" s="505"/>
      <c r="L994" s="4"/>
      <c r="M994" s="4"/>
      <c r="N994" s="4"/>
      <c r="O994" s="296"/>
    </row>
    <row r="995" ht="15" customHeight="1">
      <c r="A995" s="11"/>
      <c r="B995" s="40"/>
      <c r="C995" s="63" t="s">
        <v>353</v>
      </c>
      <c r="D995" s="506"/>
      <c r="E995" s="506"/>
      <c r="F995" s="22"/>
      <c r="G995" s="22"/>
      <c r="H995" s="507"/>
      <c r="I995" s="507"/>
      <c r="J995" s="507"/>
      <c r="K995" s="507"/>
      <c r="L995" s="22"/>
      <c r="M995" s="4"/>
      <c r="N995" s="4"/>
      <c r="O995" s="296"/>
    </row>
    <row r="996" ht="15" customHeight="1">
      <c r="A996" s="11"/>
      <c r="B996" s="40"/>
      <c r="C996" s="153"/>
      <c r="D996" s="105"/>
      <c r="E996" s="105"/>
      <c r="F996" s="105"/>
      <c r="G996" s="105"/>
      <c r="H996" s="4"/>
      <c r="I996" s="4"/>
      <c r="J996" s="4"/>
      <c r="K996" s="4"/>
      <c r="L996" s="5"/>
      <c r="M996" s="4"/>
      <c r="N996" s="4"/>
      <c r="O996" s="296"/>
    </row>
    <row r="997" ht="15" customHeight="1">
      <c r="A997" s="11"/>
      <c r="B997" s="40"/>
      <c r="C997" s="130" t="s">
        <v>171</v>
      </c>
      <c r="D997" s="105"/>
      <c r="E997" s="105"/>
      <c r="F997" s="105"/>
      <c r="G997" s="105"/>
      <c r="H997" s="4"/>
      <c r="I997" s="4"/>
      <c r="J997" s="4"/>
      <c r="K997" s="4"/>
      <c r="L997" s="5"/>
      <c r="M997" s="4"/>
      <c r="N997" s="4"/>
      <c r="O997" s="296"/>
    </row>
    <row r="998" ht="15" customHeight="1">
      <c r="A998" s="11"/>
      <c r="B998" s="40"/>
      <c r="C998" s="492" t="s">
        <v>456</v>
      </c>
      <c r="D998" s="492"/>
      <c r="E998" s="22" t="s">
        <v>457</v>
      </c>
      <c r="F998" s="492" t="s">
        <v>458</v>
      </c>
      <c r="G998" s="492"/>
      <c r="H998" s="492"/>
      <c r="I998" s="492"/>
      <c r="J998" s="4"/>
      <c r="K998" s="4"/>
      <c r="L998" s="4"/>
      <c r="M998" s="4"/>
      <c r="N998" s="4"/>
      <c r="O998" s="296"/>
    </row>
    <row r="999" ht="15" customHeight="1">
      <c r="A999" s="113"/>
      <c r="B999" s="19"/>
      <c r="C999" s="492"/>
      <c r="D999" s="492"/>
      <c r="E999" s="48" t="s">
        <v>459</v>
      </c>
      <c r="F999" s="492"/>
      <c r="G999" s="492"/>
      <c r="H999" s="492"/>
      <c r="I999" s="492"/>
      <c r="J999" s="4"/>
      <c r="K999" s="4"/>
      <c r="L999" s="4"/>
      <c r="M999" s="4"/>
      <c r="N999" s="4"/>
      <c r="O999" s="296"/>
    </row>
    <row r="1000" ht="15" customHeight="1">
      <c r="A1000" s="113"/>
      <c r="B1000" s="19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4"/>
      <c r="O1000" s="296"/>
    </row>
    <row r="1001" ht="15" customHeight="1">
      <c r="A1001" s="4"/>
      <c r="B1001" s="111" t="s">
        <v>197</v>
      </c>
      <c r="C1001" s="4" t="s">
        <v>460</v>
      </c>
      <c r="D1001" s="156"/>
      <c r="E1001" s="156"/>
      <c r="F1001" s="156"/>
      <c r="G1001" s="156"/>
      <c r="H1001" s="156"/>
      <c r="I1001" s="156"/>
      <c r="J1001" s="4"/>
      <c r="K1001" s="4"/>
      <c r="L1001" s="4"/>
      <c r="M1001" s="5"/>
      <c r="N1001" s="4"/>
      <c r="O1001" s="296"/>
    </row>
    <row r="1002" ht="15" customHeight="1">
      <c r="A1002" s="4"/>
      <c r="B1002" s="11"/>
      <c r="C1002" s="4"/>
      <c r="D1002" s="156"/>
      <c r="E1002" s="156"/>
      <c r="F1002" s="156"/>
      <c r="G1002" s="156"/>
      <c r="H1002" s="156"/>
      <c r="I1002" s="156"/>
      <c r="J1002" s="4"/>
      <c r="K1002" s="4"/>
      <c r="L1002" s="4"/>
      <c r="M1002" s="5"/>
      <c r="N1002" s="4"/>
      <c r="O1002" s="296"/>
    </row>
    <row r="1003" ht="15" customHeight="1">
      <c r="A1003" s="4"/>
      <c r="B1003" s="11"/>
      <c r="C1003" s="4" t="s">
        <v>461</v>
      </c>
      <c r="D1003" s="156"/>
      <c r="E1003" s="156"/>
      <c r="F1003" s="156"/>
      <c r="G1003" s="4" t="s">
        <v>462</v>
      </c>
      <c r="H1003" s="156"/>
      <c r="I1003" s="156"/>
      <c r="J1003" s="4"/>
      <c r="K1003" s="4"/>
      <c r="L1003" s="4"/>
      <c r="M1003" s="5"/>
      <c r="N1003" s="4"/>
      <c r="O1003" s="296"/>
    </row>
    <row r="1004" ht="15" customHeight="1">
      <c r="A1004" s="4"/>
      <c r="B1004" s="11"/>
      <c r="C1004" s="4"/>
      <c r="D1004" s="156"/>
      <c r="E1004" s="156"/>
      <c r="F1004" s="156"/>
      <c r="G1004" s="4"/>
      <c r="H1004" s="156"/>
      <c r="I1004" s="156"/>
      <c r="J1004" s="4"/>
      <c r="K1004" s="4"/>
      <c r="L1004" s="4"/>
      <c r="M1004" s="5"/>
      <c r="N1004" s="4"/>
      <c r="O1004" s="296"/>
    </row>
    <row r="1005" ht="15" customHeight="1">
      <c r="A1005" s="4"/>
      <c r="B1005" s="11"/>
      <c r="C1005" s="22" t="s">
        <v>463</v>
      </c>
      <c r="D1005" s="157"/>
      <c r="E1005" s="157"/>
      <c r="F1005" s="157"/>
      <c r="G1005" s="157"/>
      <c r="H1005" s="157"/>
      <c r="I1005" s="157"/>
      <c r="J1005" s="4"/>
      <c r="K1005" s="4"/>
      <c r="L1005" s="4"/>
      <c r="M1005" s="5"/>
      <c r="N1005" s="68" t="s">
        <v>464</v>
      </c>
    </row>
    <row r="1006" ht="20.1" customHeight="1">
      <c r="A1006" s="4"/>
      <c r="B1006" s="4"/>
      <c r="C1006" s="46" t="s">
        <v>163</v>
      </c>
      <c r="D1006" s="46"/>
      <c r="E1006" s="46"/>
      <c r="F1006" s="46"/>
      <c r="G1006" s="46"/>
      <c r="H1006" s="46" t="s">
        <v>334</v>
      </c>
      <c r="I1006" s="46"/>
      <c r="J1006" s="46"/>
      <c r="K1006" s="46"/>
      <c r="L1006" s="46"/>
      <c r="M1006" s="4"/>
      <c r="N1006" s="4"/>
      <c r="O1006" s="296"/>
    </row>
    <row r="1007" ht="20.1" customHeight="1">
      <c r="A1007" s="4"/>
      <c r="B1007" s="4"/>
      <c r="C1007" s="4" t="s">
        <v>465</v>
      </c>
      <c r="D1007" s="4"/>
      <c r="E1007" s="4"/>
      <c r="F1007" s="4"/>
      <c r="G1007" s="4"/>
      <c r="H1007" s="493">
        <v>7.2</v>
      </c>
      <c r="I1007" s="493"/>
      <c r="J1007" s="4"/>
      <c r="K1007" s="4"/>
      <c r="L1007" s="4"/>
      <c r="M1007" s="4"/>
      <c r="N1007" s="4"/>
      <c r="O1007" s="296"/>
    </row>
    <row r="1008" ht="20.1" customHeight="1">
      <c r="A1008" s="4"/>
      <c r="B1008" s="4"/>
      <c r="C1008" s="4" t="s">
        <v>466</v>
      </c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296"/>
    </row>
    <row r="1009" ht="20.1" customHeight="1">
      <c r="A1009" s="4"/>
      <c r="B1009" s="4"/>
      <c r="C1009" s="4"/>
      <c r="D1009" s="4" t="s">
        <v>467</v>
      </c>
      <c r="E1009" s="4"/>
      <c r="F1009" s="4"/>
      <c r="G1009" s="4"/>
      <c r="H1009" s="4" t="s">
        <v>468</v>
      </c>
      <c r="I1009" s="4"/>
      <c r="J1009" s="4"/>
      <c r="K1009" s="4"/>
      <c r="L1009" s="4"/>
      <c r="M1009" s="4"/>
      <c r="N1009" s="4"/>
      <c r="O1009" s="296"/>
    </row>
    <row r="1010" ht="20.1" customHeight="1">
      <c r="A1010" s="4"/>
      <c r="B1010" s="4"/>
      <c r="C1010" s="22"/>
      <c r="D1010" s="22" t="s">
        <v>469</v>
      </c>
      <c r="E1010" s="22"/>
      <c r="F1010" s="22"/>
      <c r="G1010" s="22"/>
      <c r="H1010" s="22" t="s">
        <v>470</v>
      </c>
      <c r="I1010" s="22"/>
      <c r="J1010" s="22"/>
      <c r="K1010" s="22"/>
      <c r="L1010" s="22"/>
      <c r="M1010" s="4"/>
      <c r="N1010" s="4"/>
      <c r="O1010" s="296"/>
    </row>
    <row r="1011" ht="1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296"/>
    </row>
    <row r="1012" ht="15" customHeight="1">
      <c r="A1012" s="4"/>
      <c r="B1012" s="4"/>
      <c r="C1012" s="4" t="s">
        <v>471</v>
      </c>
      <c r="D1012" s="30" t="s">
        <v>173</v>
      </c>
      <c r="E1012" s="4" t="s">
        <v>472</v>
      </c>
      <c r="F1012" s="4"/>
      <c r="G1012" s="4"/>
      <c r="H1012" s="4"/>
      <c r="I1012" s="4"/>
      <c r="J1012" s="4"/>
      <c r="K1012" s="4"/>
      <c r="L1012" s="4"/>
      <c r="M1012" s="4"/>
      <c r="N1012" s="4"/>
      <c r="O1012" s="296"/>
    </row>
    <row r="1013" ht="15" customHeight="1">
      <c r="A1013" s="4"/>
      <c r="B1013" s="4"/>
      <c r="C1013" s="4"/>
      <c r="D1013" s="30" t="s">
        <v>173</v>
      </c>
      <c r="E1013" s="4" t="s">
        <v>473</v>
      </c>
      <c r="F1013" s="4"/>
      <c r="G1013" s="4"/>
      <c r="H1013" s="4"/>
      <c r="I1013" s="4"/>
      <c r="J1013" s="4"/>
      <c r="K1013" s="4"/>
      <c r="L1013" s="4"/>
      <c r="M1013" s="4"/>
      <c r="N1013" s="4"/>
      <c r="O1013" s="296"/>
    </row>
    <row r="1014" ht="15" customHeight="1">
      <c r="A1014" s="4"/>
      <c r="B1014" s="4"/>
      <c r="C1014" s="4" t="s">
        <v>474</v>
      </c>
      <c r="D1014" s="30" t="s">
        <v>173</v>
      </c>
      <c r="E1014" s="4" t="s">
        <v>475</v>
      </c>
      <c r="F1014" s="4"/>
      <c r="G1014" s="4"/>
      <c r="H1014" s="4"/>
      <c r="I1014" s="4"/>
      <c r="J1014" s="4"/>
      <c r="K1014" s="4"/>
      <c r="L1014" s="4"/>
      <c r="M1014" s="4"/>
      <c r="N1014" s="4"/>
      <c r="O1014" s="296"/>
    </row>
    <row r="1015" ht="15" customHeight="1">
      <c r="A1015" s="4"/>
      <c r="B1015" s="4"/>
      <c r="C1015" s="4" t="s">
        <v>476</v>
      </c>
      <c r="D1015" s="30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296"/>
    </row>
    <row r="1016" ht="15" customHeight="1">
      <c r="A1016" s="4"/>
      <c r="B1016" s="4"/>
      <c r="C1016" s="4"/>
      <c r="D1016" s="30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296"/>
    </row>
    <row r="1017" ht="15" customHeight="1">
      <c r="A1017" s="4"/>
      <c r="B1017" s="4" t="s">
        <v>477</v>
      </c>
      <c r="C1017" s="30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</row>
    <row r="1018" ht="15" customHeight="1">
      <c r="A1018" s="4"/>
      <c r="B1018" s="59" t="s">
        <v>478</v>
      </c>
      <c r="C1018" s="30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</row>
    <row r="1019" ht="15" customHeight="1">
      <c r="A1019" s="4"/>
      <c r="B1019" s="486" t="s">
        <v>479</v>
      </c>
      <c r="C1019" s="30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</row>
    <row r="1020" ht="20.1" customHeight="1">
      <c r="A1020" s="4"/>
      <c r="B1020" s="46" t="s">
        <v>163</v>
      </c>
      <c r="C1020" s="46"/>
      <c r="D1020" s="46"/>
      <c r="E1020" s="46"/>
      <c r="F1020" s="46"/>
      <c r="G1020" s="46" t="s">
        <v>334</v>
      </c>
      <c r="H1020" s="46"/>
      <c r="I1020" s="46"/>
      <c r="J1020" s="46"/>
      <c r="K1020" s="46"/>
      <c r="L1020" s="4"/>
      <c r="M1020" s="4"/>
      <c r="N1020" s="4"/>
    </row>
    <row r="1021" ht="20.1" customHeight="1">
      <c r="A1021" s="4"/>
      <c r="B1021" s="158" t="s">
        <v>480</v>
      </c>
      <c r="C1021" s="4"/>
      <c r="D1021" s="4" t="s">
        <v>481</v>
      </c>
      <c r="E1021" s="4"/>
      <c r="F1021" s="4"/>
      <c r="G1021" s="4" t="s">
        <v>482</v>
      </c>
      <c r="H1021" s="4"/>
      <c r="I1021" s="4"/>
      <c r="J1021" s="4"/>
      <c r="K1021" s="4"/>
      <c r="L1021" s="4"/>
      <c r="M1021" s="4"/>
      <c r="N1021" s="4"/>
    </row>
    <row r="1022" ht="20.1" customHeight="1">
      <c r="A1022" s="4"/>
      <c r="B1022" s="49"/>
      <c r="C1022" s="49"/>
      <c r="D1022" s="49" t="s">
        <v>483</v>
      </c>
      <c r="E1022" s="49"/>
      <c r="F1022" s="49"/>
      <c r="G1022" s="49" t="s">
        <v>484</v>
      </c>
      <c r="H1022" s="49"/>
      <c r="I1022" s="49"/>
      <c r="J1022" s="49"/>
      <c r="K1022" s="49"/>
      <c r="L1022" s="4"/>
      <c r="M1022" s="4"/>
      <c r="N1022" s="4"/>
    </row>
    <row r="1023" ht="20.1" customHeight="1">
      <c r="A1023" s="4"/>
      <c r="B1023" s="159" t="s">
        <v>485</v>
      </c>
      <c r="C1023" s="22"/>
      <c r="D1023" s="22"/>
      <c r="E1023" s="22"/>
      <c r="F1023" s="22"/>
      <c r="G1023" s="22" t="s">
        <v>486</v>
      </c>
      <c r="H1023" s="22"/>
      <c r="I1023" s="22"/>
      <c r="J1023" s="22"/>
      <c r="K1023" s="22"/>
      <c r="L1023" s="4"/>
      <c r="M1023" s="4"/>
      <c r="N1023" s="4"/>
    </row>
    <row r="1024" ht="15" customHeight="1">
      <c r="A1024" s="4"/>
      <c r="B1024" s="156"/>
      <c r="C1024" s="30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</row>
    <row r="1025" ht="15" customHeight="1">
      <c r="A1025" s="4"/>
      <c r="B1025" s="4" t="s">
        <v>487</v>
      </c>
      <c r="C1025" s="30" t="s">
        <v>173</v>
      </c>
      <c r="D1025" s="4" t="s">
        <v>488</v>
      </c>
      <c r="E1025" s="4"/>
      <c r="F1025" s="4"/>
      <c r="G1025" s="4"/>
      <c r="H1025" s="4"/>
      <c r="I1025" s="4"/>
      <c r="J1025" s="4"/>
      <c r="K1025" s="4"/>
      <c r="L1025" s="4"/>
      <c r="M1025" s="4"/>
      <c r="N1025" s="4"/>
    </row>
    <row r="1026" ht="15" customHeight="1">
      <c r="A1026" s="4"/>
      <c r="B1026" s="156"/>
      <c r="C1026" s="30"/>
      <c r="D1026" s="4" t="s">
        <v>489</v>
      </c>
      <c r="E1026" s="4"/>
      <c r="F1026" s="4"/>
      <c r="G1026" s="4"/>
      <c r="H1026" s="4"/>
      <c r="I1026" s="4"/>
      <c r="J1026" s="4"/>
      <c r="K1026" s="4"/>
      <c r="L1026" s="4"/>
      <c r="M1026" s="4"/>
      <c r="N1026" s="4"/>
    </row>
    <row r="1027" ht="15" customHeight="1">
      <c r="A1027" s="4"/>
      <c r="B1027" s="129" t="s">
        <v>490</v>
      </c>
      <c r="C1027" s="30" t="s">
        <v>173</v>
      </c>
      <c r="D1027" s="4" t="s">
        <v>491</v>
      </c>
      <c r="E1027" s="4"/>
      <c r="F1027" s="4"/>
      <c r="G1027" s="4"/>
      <c r="H1027" s="4"/>
      <c r="I1027" s="4"/>
      <c r="J1027" s="4"/>
      <c r="K1027" s="4"/>
      <c r="L1027" s="4"/>
      <c r="M1027" s="4"/>
      <c r="N1027" s="4"/>
    </row>
    <row r="1028" ht="15" customHeight="1">
      <c r="A1028" s="4"/>
      <c r="B1028" s="4" t="s">
        <v>492</v>
      </c>
      <c r="C1028" s="30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</row>
    <row r="1029" ht="15" customHeight="1">
      <c r="A1029" s="4"/>
      <c r="B1029" s="4" t="s">
        <v>493</v>
      </c>
      <c r="C1029" s="30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</row>
    <row r="1030" ht="15" customHeight="1">
      <c r="A1030" s="4"/>
      <c r="B1030" s="4" t="s">
        <v>494</v>
      </c>
      <c r="C1030" s="4"/>
      <c r="D1030" s="30"/>
      <c r="E1030" s="4"/>
      <c r="F1030" s="38"/>
      <c r="G1030" s="4"/>
      <c r="H1030" s="4"/>
      <c r="I1030" s="4"/>
      <c r="J1030" s="4"/>
      <c r="K1030" s="5"/>
      <c r="L1030" s="4"/>
      <c r="M1030" s="4"/>
      <c r="N1030" s="4"/>
    </row>
    <row r="1031"/>
    <row r="1032" ht="15" customHeight="1">
      <c r="A1032" s="59" t="s">
        <v>495</v>
      </c>
      <c r="B1032" s="4"/>
      <c r="C1032" s="4"/>
      <c r="D1032" s="4"/>
      <c r="E1032" s="4"/>
      <c r="F1032" s="4"/>
      <c r="G1032" s="38"/>
      <c r="H1032" s="4"/>
      <c r="I1032" s="4"/>
      <c r="J1032" s="4"/>
      <c r="K1032" s="4"/>
      <c r="L1032" s="5"/>
      <c r="M1032" s="4"/>
    </row>
    <row r="1033" ht="15" customHeight="1">
      <c r="A1033" s="72" t="s">
        <v>230</v>
      </c>
      <c r="B1033" s="494" t="s">
        <v>496</v>
      </c>
      <c r="C1033" s="495"/>
      <c r="D1033" s="73" t="s">
        <v>471</v>
      </c>
      <c r="E1033" s="73" t="s">
        <v>438</v>
      </c>
      <c r="F1033" s="73" t="s">
        <v>497</v>
      </c>
      <c r="G1033" s="73" t="s">
        <v>25</v>
      </c>
      <c r="H1033" s="160" t="s">
        <v>490</v>
      </c>
      <c r="I1033" s="73" t="s">
        <v>334</v>
      </c>
      <c r="J1033" s="73" t="s">
        <v>498</v>
      </c>
      <c r="K1033" s="490" t="s">
        <v>0</v>
      </c>
      <c r="L1033" s="490"/>
      <c r="M1033" s="490" t="s">
        <v>1</v>
      </c>
      <c r="N1033" s="491"/>
    </row>
    <row r="1034" ht="15" customHeight="1">
      <c r="A1034" s="75"/>
      <c r="B1034" s="79" t="s">
        <v>499</v>
      </c>
      <c r="C1034" s="79" t="s">
        <v>500</v>
      </c>
      <c r="D1034" s="76"/>
      <c r="E1034" s="76"/>
      <c r="F1034" s="76" t="s">
        <v>487</v>
      </c>
      <c r="G1034" s="76"/>
      <c r="H1034" s="76"/>
      <c r="I1034" s="76"/>
      <c r="J1034" s="76"/>
      <c r="K1034" s="76" t="s">
        <v>246</v>
      </c>
      <c r="L1034" s="150" t="s">
        <v>247</v>
      </c>
      <c r="M1034" s="76" t="s">
        <v>246</v>
      </c>
      <c r="N1034" s="151" t="s">
        <v>247</v>
      </c>
    </row>
    <row r="1035" ht="15" customHeight="1">
      <c r="A1035" s="182">
        <f>A906</f>
        <v>101</v>
      </c>
      <c r="B1035" s="198">
        <f>B174</f>
        <v>0.60695545900194237</v>
      </c>
      <c r="C1035" s="198">
        <f>C174</f>
        <v>-0.5613011256267133</v>
      </c>
      <c r="D1035" s="183">
        <f>INPUT!BA3</f>
        <v>1349.6250153914068</v>
      </c>
      <c r="E1035" s="195" t="str">
        <f>IF(2*D1035/COS(ATAN(G94))/L337&lt;=5.7*SQRT(INPUT!$B$2/D737),"C","S")</f>
        <v>S</v>
      </c>
      <c r="F1035" s="180">
        <f>INPUT!AN3</f>
        <v>700</v>
      </c>
      <c r="G1035" s="184">
        <f>G497</f>
        <v>2800</v>
      </c>
      <c r="H1035" s="131">
        <f>IF(OR(B1035=0,C1035=0),0,IF(B1035&lt;=0,C1035/B1035,B1035/C1035))</f>
        <v>-1.0813366146812093</v>
      </c>
      <c r="I1035" s="131">
        <f>IF(INPUT!AB3=0,9/(D1035/G1035)^2,IF(INPUT!AB3=0=1,IF(AND(B1035&lt;=0,C1035&lt;=0),7.2,IF(F1035/D1035&gt;=0.4,MAX(5.17/(F1035/G1035)^2,9/(D1035/G1035)^2),11.64/((D1035-F1035)/G1035)^2)),IF(H1035&gt;=-1,247.8*((F1035/D1035)^1.8)*(1-H1035)^2.7,247.8*(1-H1035)^0.32)))</f>
        <v>313.30753940804465</v>
      </c>
      <c r="J1035" s="131">
        <f>MIN(0.9*INPUT!$B$2*I1035/(G1035/COS(ATAN(G94))/L337)^2,N337*D737,INPUT!AQ3/0.7)</f>
        <v>0</v>
      </c>
      <c r="K1035" s="201" t="str">
        <f>IF(OR(E1035="C",B1035&gt;=0),"-",IF(ABS(B1035)&lt;=J1035,"OK","NG"))</f>
        <v>-</v>
      </c>
      <c r="L1035" s="200" t="str">
        <f>IF(OR(E1035="C",B1035&gt;=0),"-",J1035/ABS(B1035))</f>
        <v>-</v>
      </c>
      <c r="M1035" s="201" t="str">
        <f>IF(OR(E1035="C",C1035&gt;=0),"-",IF(ABS(C1035)&lt;=J1035,"OK","NG"))</f>
        <v>NG</v>
      </c>
      <c r="N1035" s="203">
        <f>IF(OR(E1035="C",C1035&gt;=0),"-",J1035/ABS(C1035))</f>
        <v>0</v>
      </c>
    </row>
    <row r="1036">
      <c r="A1036" s="182">
        <f>A907</f>
        <v>101</v>
      </c>
      <c r="B1036" s="198">
        <f>B175</f>
        <v>0.60695545900194237</v>
      </c>
      <c r="C1036" s="198">
        <f>C175</f>
        <v>-0.5613011256267133</v>
      </c>
      <c r="D1036" s="183">
        <f>INPUT!BA4</f>
        <v>1349.6250153914068</v>
      </c>
      <c r="E1036" s="195" t="str">
        <f>IF(2*D1036/COS(ATAN(G95))/L338&lt;=5.7*SQRT(INPUT!$B$2/D738),"C","S")</f>
        <v>S</v>
      </c>
      <c r="F1036" s="180">
        <f>INPUT!AN4</f>
        <v>700</v>
      </c>
      <c r="G1036" s="184">
        <f>G498</f>
        <v>2800</v>
      </c>
      <c r="H1036" s="131">
        <f>IF(OR(B1036=0,C1036=0),0,IF(B1036&lt;=0,C1036/B1036,B1036/C1036))</f>
        <v>-1.0813366146812093</v>
      </c>
      <c r="I1036" s="131">
        <f>IF(INPUT!AB4=0,9/(D1036/G1036)^2,IF(INPUT!AB4=0=1,IF(AND(B1036&lt;=0,C1036&lt;=0),7.2,IF(F1036/D1036&gt;=0.4,MAX(5.17/(F1036/G1036)^2,9/(D1036/G1036)^2),11.64/((D1036-F1036)/G1036)^2)),IF(H1036&gt;=-1,247.8*((F1036/D1036)^1.8)*(1-H1036)^2.7,247.8*(1-H1036)^0.32)))</f>
        <v>313.30753940804465</v>
      </c>
      <c r="J1036" s="131">
        <f>MIN(0.9*INPUT!$B$2*I1036/(G1036/COS(ATAN(G95))/L338)^2,N338*D738,INPUT!AQ4/0.7)</f>
        <v>0</v>
      </c>
      <c r="K1036" s="201" t="str">
        <f>IF(OR(E1036="C",B1036&gt;=0),"-",IF(ABS(B1036)&lt;=J1036,"OK","NG"))</f>
        <v>-</v>
      </c>
      <c r="L1036" s="200" t="str">
        <f>IF(OR(E1036="C",B1036&gt;=0),"-",J1036/ABS(B1036))</f>
        <v>-</v>
      </c>
      <c r="M1036" s="201" t="str">
        <f>IF(OR(E1036="C",C1036&gt;=0),"-",IF(ABS(C1036)&lt;=J1036,"OK","NG"))</f>
        <v>NG</v>
      </c>
      <c r="N1036" s="203">
        <f>IF(OR(E1036="C",C1036&gt;=0),"-",J1036/ABS(C1036))</f>
        <v>0</v>
      </c>
    </row>
    <row r="1037">
      <c r="A1037" s="182">
        <f>A908</f>
        <v>101</v>
      </c>
      <c r="B1037" s="198">
        <f>B176</f>
        <v>0.60695545900194237</v>
      </c>
      <c r="C1037" s="198">
        <f>C176</f>
        <v>-0.5613011256267133</v>
      </c>
      <c r="D1037" s="183">
        <f>INPUT!BA5</f>
        <v>1349.6250153914068</v>
      </c>
      <c r="E1037" s="195" t="str">
        <f>IF(2*D1037/COS(ATAN(G96))/L339&lt;=5.7*SQRT(INPUT!$B$2/D739),"C","S")</f>
        <v>S</v>
      </c>
      <c r="F1037" s="180">
        <f>INPUT!AN5</f>
        <v>700</v>
      </c>
      <c r="G1037" s="184">
        <f>G499</f>
        <v>2800</v>
      </c>
      <c r="H1037" s="131">
        <f>IF(OR(B1037=0,C1037=0),0,IF(B1037&lt;=0,C1037/B1037,B1037/C1037))</f>
        <v>-1.0813366146812093</v>
      </c>
      <c r="I1037" s="131">
        <f>IF(INPUT!AB5=0,9/(D1037/G1037)^2,IF(INPUT!AB5=0=1,IF(AND(B1037&lt;=0,C1037&lt;=0),7.2,IF(F1037/D1037&gt;=0.4,MAX(5.17/(F1037/G1037)^2,9/(D1037/G1037)^2),11.64/((D1037-F1037)/G1037)^2)),IF(H1037&gt;=-1,247.8*((F1037/D1037)^1.8)*(1-H1037)^2.7,247.8*(1-H1037)^0.32)))</f>
        <v>313.30753940804465</v>
      </c>
      <c r="J1037" s="131">
        <f>MIN(0.9*INPUT!$B$2*I1037/(G1037/COS(ATAN(G96))/L339)^2,N339*D739,INPUT!AQ5/0.7)</f>
        <v>0</v>
      </c>
      <c r="K1037" s="201" t="str">
        <f>IF(OR(E1037="C",B1037&gt;=0),"-",IF(ABS(B1037)&lt;=J1037,"OK","NG"))</f>
        <v>-</v>
      </c>
      <c r="L1037" s="200" t="str">
        <f>IF(OR(E1037="C",B1037&gt;=0),"-",J1037/ABS(B1037))</f>
        <v>-</v>
      </c>
      <c r="M1037" s="201" t="str">
        <f>IF(OR(E1037="C",C1037&gt;=0),"-",IF(ABS(C1037)&lt;=J1037,"OK","NG"))</f>
        <v>NG</v>
      </c>
      <c r="N1037" s="203">
        <f>IF(OR(E1037="C",C1037&gt;=0),"-",J1037/ABS(C1037))</f>
        <v>0</v>
      </c>
    </row>
    <row r="1038">
      <c r="A1038" s="182">
        <f>A909</f>
        <v>101</v>
      </c>
      <c r="B1038" s="198">
        <f>B177</f>
        <v>0.60695545900194237</v>
      </c>
      <c r="C1038" s="198">
        <f>C177</f>
        <v>-0.5613011256267133</v>
      </c>
      <c r="D1038" s="183">
        <f>INPUT!BA6</f>
        <v>1349.6250153914068</v>
      </c>
      <c r="E1038" s="195" t="str">
        <f>IF(2*D1038/COS(ATAN(G97))/L340&lt;=5.7*SQRT(INPUT!$B$2/D740),"C","S")</f>
        <v>S</v>
      </c>
      <c r="F1038" s="180">
        <f>INPUT!AN6</f>
        <v>700</v>
      </c>
      <c r="G1038" s="184">
        <f>G500</f>
        <v>2800</v>
      </c>
      <c r="H1038" s="131">
        <f>IF(OR(B1038=0,C1038=0),0,IF(B1038&lt;=0,C1038/B1038,B1038/C1038))</f>
        <v>-1.0813366146812093</v>
      </c>
      <c r="I1038" s="131">
        <f>IF(INPUT!AB6=0,9/(D1038/G1038)^2,IF(INPUT!AB6=0=1,IF(AND(B1038&lt;=0,C1038&lt;=0),7.2,IF(F1038/D1038&gt;=0.4,MAX(5.17/(F1038/G1038)^2,9/(D1038/G1038)^2),11.64/((D1038-F1038)/G1038)^2)),IF(H1038&gt;=-1,247.8*((F1038/D1038)^1.8)*(1-H1038)^2.7,247.8*(1-H1038)^0.32)))</f>
        <v>313.30753940804465</v>
      </c>
      <c r="J1038" s="131">
        <f>MIN(0.9*INPUT!$B$2*I1038/(G1038/COS(ATAN(G97))/L340)^2,N340*D740,INPUT!AQ6/0.7)</f>
        <v>0</v>
      </c>
      <c r="K1038" s="201" t="str">
        <f>IF(OR(E1038="C",B1038&gt;=0),"-",IF(ABS(B1038)&lt;=J1038,"OK","NG"))</f>
        <v>-</v>
      </c>
      <c r="L1038" s="200" t="str">
        <f>IF(OR(E1038="C",B1038&gt;=0),"-",J1038/ABS(B1038))</f>
        <v>-</v>
      </c>
      <c r="M1038" s="201" t="str">
        <f>IF(OR(E1038="C",C1038&gt;=0),"-",IF(ABS(C1038)&lt;=J1038,"OK","NG"))</f>
        <v>NG</v>
      </c>
      <c r="N1038" s="203">
        <f>IF(OR(E1038="C",C1038&gt;=0),"-",J1038/ABS(C1038))</f>
        <v>0</v>
      </c>
    </row>
    <row r="1039">
      <c r="A1039" s="182">
        <f>A910</f>
        <v>101</v>
      </c>
      <c r="B1039" s="198">
        <f>B178</f>
        <v>0.60695545900194237</v>
      </c>
      <c r="C1039" s="198">
        <f>C178</f>
        <v>-0.5613011256267133</v>
      </c>
      <c r="D1039" s="183">
        <f>INPUT!BA7</f>
        <v>1349.6250153914068</v>
      </c>
      <c r="E1039" s="195" t="str">
        <f>IF(2*D1039/COS(ATAN(G98))/L341&lt;=5.7*SQRT(INPUT!$B$2/D741),"C","S")</f>
        <v>S</v>
      </c>
      <c r="F1039" s="180">
        <f>INPUT!AN7</f>
        <v>700</v>
      </c>
      <c r="G1039" s="184">
        <f>G501</f>
        <v>2800</v>
      </c>
      <c r="H1039" s="131">
        <f>IF(OR(B1039=0,C1039=0),0,IF(B1039&lt;=0,C1039/B1039,B1039/C1039))</f>
        <v>-1.0813366146812093</v>
      </c>
      <c r="I1039" s="131">
        <f>IF(INPUT!AB7=0,9/(D1039/G1039)^2,IF(INPUT!AB7=0=1,IF(AND(B1039&lt;=0,C1039&lt;=0),7.2,IF(F1039/D1039&gt;=0.4,MAX(5.17/(F1039/G1039)^2,9/(D1039/G1039)^2),11.64/((D1039-F1039)/G1039)^2)),IF(H1039&gt;=-1,247.8*((F1039/D1039)^1.8)*(1-H1039)^2.7,247.8*(1-H1039)^0.32)))</f>
        <v>313.30753940804465</v>
      </c>
      <c r="J1039" s="131">
        <f>MIN(0.9*INPUT!$B$2*I1039/(G1039/COS(ATAN(G98))/L341)^2,N341*D741,INPUT!AQ7/0.7)</f>
        <v>0</v>
      </c>
      <c r="K1039" s="201" t="str">
        <f>IF(OR(E1039="C",B1039&gt;=0),"-",IF(ABS(B1039)&lt;=J1039,"OK","NG"))</f>
        <v>-</v>
      </c>
      <c r="L1039" s="200" t="str">
        <f>IF(OR(E1039="C",B1039&gt;=0),"-",J1039/ABS(B1039))</f>
        <v>-</v>
      </c>
      <c r="M1039" s="201" t="str">
        <f>IF(OR(E1039="C",C1039&gt;=0),"-",IF(ABS(C1039)&lt;=J1039,"OK","NG"))</f>
        <v>NG</v>
      </c>
      <c r="N1039" s="203">
        <f>IF(OR(E1039="C",C1039&gt;=0),"-",J1039/ABS(C1039))</f>
        <v>0</v>
      </c>
    </row>
    <row r="1040">
      <c r="A1040" s="182">
        <f>A911</f>
        <v>101</v>
      </c>
      <c r="B1040" s="198">
        <f>B179</f>
        <v>0.60695545900194237</v>
      </c>
      <c r="C1040" s="198">
        <f>C179</f>
        <v>-0.5613011256267133</v>
      </c>
      <c r="D1040" s="183">
        <f>INPUT!BA8</f>
        <v>1349.6250153914068</v>
      </c>
      <c r="E1040" s="195" t="str">
        <f>IF(2*D1040/COS(ATAN(G99))/L342&lt;=5.7*SQRT(INPUT!$B$2/D742),"C","S")</f>
        <v>S</v>
      </c>
      <c r="F1040" s="180">
        <f>INPUT!AN8</f>
        <v>700</v>
      </c>
      <c r="G1040" s="184">
        <f>G502</f>
        <v>2800</v>
      </c>
      <c r="H1040" s="131">
        <f>IF(OR(B1040=0,C1040=0),0,IF(B1040&lt;=0,C1040/B1040,B1040/C1040))</f>
        <v>-1.0813366146812093</v>
      </c>
      <c r="I1040" s="131">
        <f>IF(INPUT!AB8=0,9/(D1040/G1040)^2,IF(INPUT!AB8=0=1,IF(AND(B1040&lt;=0,C1040&lt;=0),7.2,IF(F1040/D1040&gt;=0.4,MAX(5.17/(F1040/G1040)^2,9/(D1040/G1040)^2),11.64/((D1040-F1040)/G1040)^2)),IF(H1040&gt;=-1,247.8*((F1040/D1040)^1.8)*(1-H1040)^2.7,247.8*(1-H1040)^0.32)))</f>
        <v>313.30753940804465</v>
      </c>
      <c r="J1040" s="131">
        <f>MIN(0.9*INPUT!$B$2*I1040/(G1040/COS(ATAN(G99))/L342)^2,N342*D742,INPUT!AQ8/0.7)</f>
        <v>0</v>
      </c>
      <c r="K1040" s="201" t="str">
        <f>IF(OR(E1040="C",B1040&gt;=0),"-",IF(ABS(B1040)&lt;=J1040,"OK","NG"))</f>
        <v>-</v>
      </c>
      <c r="L1040" s="200" t="str">
        <f>IF(OR(E1040="C",B1040&gt;=0),"-",J1040/ABS(B1040))</f>
        <v>-</v>
      </c>
      <c r="M1040" s="201" t="str">
        <f>IF(OR(E1040="C",C1040&gt;=0),"-",IF(ABS(C1040)&lt;=J1040,"OK","NG"))</f>
        <v>NG</v>
      </c>
      <c r="N1040" s="203">
        <f>IF(OR(E1040="C",C1040&gt;=0),"-",J1040/ABS(C1040))</f>
        <v>0</v>
      </c>
    </row>
    <row r="1041">
      <c r="A1041" s="182">
        <f>A912</f>
        <v>101</v>
      </c>
      <c r="B1041" s="198">
        <f>B180</f>
        <v>0.60695545900194237</v>
      </c>
      <c r="C1041" s="198">
        <f>C180</f>
        <v>-0.5613011256267133</v>
      </c>
      <c r="D1041" s="183">
        <f>INPUT!BA9</f>
        <v>1349.6250153914068</v>
      </c>
      <c r="E1041" s="195" t="str">
        <f>IF(2*D1041/COS(ATAN(G100))/L343&lt;=5.7*SQRT(INPUT!$B$2/D743),"C","S")</f>
        <v>S</v>
      </c>
      <c r="F1041" s="180">
        <f>INPUT!AN9</f>
        <v>700</v>
      </c>
      <c r="G1041" s="184">
        <f>G503</f>
        <v>2800</v>
      </c>
      <c r="H1041" s="131">
        <f>IF(OR(B1041=0,C1041=0),0,IF(B1041&lt;=0,C1041/B1041,B1041/C1041))</f>
        <v>-1.0813366146812093</v>
      </c>
      <c r="I1041" s="131">
        <f>IF(INPUT!AB9=0,9/(D1041/G1041)^2,IF(INPUT!AB9=0=1,IF(AND(B1041&lt;=0,C1041&lt;=0),7.2,IF(F1041/D1041&gt;=0.4,MAX(5.17/(F1041/G1041)^2,9/(D1041/G1041)^2),11.64/((D1041-F1041)/G1041)^2)),IF(H1041&gt;=-1,247.8*((F1041/D1041)^1.8)*(1-H1041)^2.7,247.8*(1-H1041)^0.32)))</f>
        <v>313.30753940804465</v>
      </c>
      <c r="J1041" s="131">
        <f>MIN(0.9*INPUT!$B$2*I1041/(G1041/COS(ATAN(G100))/L343)^2,N343*D743,INPUT!AQ9/0.7)</f>
        <v>0</v>
      </c>
      <c r="K1041" s="201" t="str">
        <f>IF(OR(E1041="C",B1041&gt;=0),"-",IF(ABS(B1041)&lt;=J1041,"OK","NG"))</f>
        <v>-</v>
      </c>
      <c r="L1041" s="200" t="str">
        <f>IF(OR(E1041="C",B1041&gt;=0),"-",J1041/ABS(B1041))</f>
        <v>-</v>
      </c>
      <c r="M1041" s="201" t="str">
        <f>IF(OR(E1041="C",C1041&gt;=0),"-",IF(ABS(C1041)&lt;=J1041,"OK","NG"))</f>
        <v>NG</v>
      </c>
      <c r="N1041" s="203">
        <f>IF(OR(E1041="C",C1041&gt;=0),"-",J1041/ABS(C1041))</f>
        <v>0</v>
      </c>
    </row>
    <row r="1042">
      <c r="A1042" s="182">
        <f>A913</f>
        <v>101</v>
      </c>
      <c r="B1042" s="198">
        <f>B181</f>
        <v>0.60695545900194237</v>
      </c>
      <c r="C1042" s="198">
        <f>C181</f>
        <v>-0.5613011256267133</v>
      </c>
      <c r="D1042" s="183">
        <f>INPUT!BA10</f>
        <v>1349.6250153914068</v>
      </c>
      <c r="E1042" s="195" t="str">
        <f>IF(2*D1042/COS(ATAN(G101))/L344&lt;=5.7*SQRT(INPUT!$B$2/D744),"C","S")</f>
        <v>S</v>
      </c>
      <c r="F1042" s="180">
        <f>INPUT!AN10</f>
        <v>700</v>
      </c>
      <c r="G1042" s="184">
        <f>G504</f>
        <v>2800</v>
      </c>
      <c r="H1042" s="131">
        <f>IF(OR(B1042=0,C1042=0),0,IF(B1042&lt;=0,C1042/B1042,B1042/C1042))</f>
        <v>-1.0813366146812093</v>
      </c>
      <c r="I1042" s="131">
        <f>IF(INPUT!AB10=0,9/(D1042/G1042)^2,IF(INPUT!AB10=0=1,IF(AND(B1042&lt;=0,C1042&lt;=0),7.2,IF(F1042/D1042&gt;=0.4,MAX(5.17/(F1042/G1042)^2,9/(D1042/G1042)^2),11.64/((D1042-F1042)/G1042)^2)),IF(H1042&gt;=-1,247.8*((F1042/D1042)^1.8)*(1-H1042)^2.7,247.8*(1-H1042)^0.32)))</f>
        <v>313.30753940804465</v>
      </c>
      <c r="J1042" s="131">
        <f>MIN(0.9*INPUT!$B$2*I1042/(G1042/COS(ATAN(G101))/L344)^2,N344*D744,INPUT!AQ10/0.7)</f>
        <v>0</v>
      </c>
      <c r="K1042" s="201" t="str">
        <f>IF(OR(E1042="C",B1042&gt;=0),"-",IF(ABS(B1042)&lt;=J1042,"OK","NG"))</f>
        <v>-</v>
      </c>
      <c r="L1042" s="200" t="str">
        <f>IF(OR(E1042="C",B1042&gt;=0),"-",J1042/ABS(B1042))</f>
        <v>-</v>
      </c>
      <c r="M1042" s="201" t="str">
        <f>IF(OR(E1042="C",C1042&gt;=0),"-",IF(ABS(C1042)&lt;=J1042,"OK","NG"))</f>
        <v>NG</v>
      </c>
      <c r="N1042" s="203">
        <f>IF(OR(E1042="C",C1042&gt;=0),"-",J1042/ABS(C1042))</f>
        <v>0</v>
      </c>
    </row>
    <row r="1043">
      <c r="A1043" s="182">
        <f>A914</f>
        <v>101</v>
      </c>
      <c r="B1043" s="198">
        <f>B182</f>
        <v>0.60695545900194237</v>
      </c>
      <c r="C1043" s="198">
        <f>C182</f>
        <v>-0.5613011256267133</v>
      </c>
      <c r="D1043" s="183">
        <f>INPUT!BA11</f>
        <v>1349.6250153914068</v>
      </c>
      <c r="E1043" s="195" t="str">
        <f>IF(2*D1043/COS(ATAN(G102))/L345&lt;=5.7*SQRT(INPUT!$B$2/D745),"C","S")</f>
        <v>S</v>
      </c>
      <c r="F1043" s="180">
        <f>INPUT!AN11</f>
        <v>700</v>
      </c>
      <c r="G1043" s="184">
        <f>G505</f>
        <v>2800</v>
      </c>
      <c r="H1043" s="131">
        <f>IF(OR(B1043=0,C1043=0),0,IF(B1043&lt;=0,C1043/B1043,B1043/C1043))</f>
        <v>-1.0813366146812093</v>
      </c>
      <c r="I1043" s="131">
        <f>IF(INPUT!AB11=0,9/(D1043/G1043)^2,IF(INPUT!AB11=0=1,IF(AND(B1043&lt;=0,C1043&lt;=0),7.2,IF(F1043/D1043&gt;=0.4,MAX(5.17/(F1043/G1043)^2,9/(D1043/G1043)^2),11.64/((D1043-F1043)/G1043)^2)),IF(H1043&gt;=-1,247.8*((F1043/D1043)^1.8)*(1-H1043)^2.7,247.8*(1-H1043)^0.32)))</f>
        <v>313.30753940804465</v>
      </c>
      <c r="J1043" s="131">
        <f>MIN(0.9*INPUT!$B$2*I1043/(G1043/COS(ATAN(G102))/L345)^2,N345*D745,INPUT!AQ11/0.7)</f>
        <v>0</v>
      </c>
      <c r="K1043" s="201" t="str">
        <f>IF(OR(E1043="C",B1043&gt;=0),"-",IF(ABS(B1043)&lt;=J1043,"OK","NG"))</f>
        <v>-</v>
      </c>
      <c r="L1043" s="200" t="str">
        <f>IF(OR(E1043="C",B1043&gt;=0),"-",J1043/ABS(B1043))</f>
        <v>-</v>
      </c>
      <c r="M1043" s="201" t="str">
        <f>IF(OR(E1043="C",C1043&gt;=0),"-",IF(ABS(C1043)&lt;=J1043,"OK","NG"))</f>
        <v>NG</v>
      </c>
      <c r="N1043" s="203">
        <f>IF(OR(E1043="C",C1043&gt;=0),"-",J1043/ABS(C1043))</f>
        <v>0</v>
      </c>
    </row>
    <row r="1044">
      <c r="A1044" s="182">
        <f>A915</f>
        <v>101</v>
      </c>
      <c r="B1044" s="198">
        <f>B183</f>
        <v>0.60695545900194237</v>
      </c>
      <c r="C1044" s="198">
        <f>C183</f>
        <v>-0.5613011256267133</v>
      </c>
      <c r="D1044" s="183">
        <f>INPUT!BA12</f>
        <v>1349.6250153914068</v>
      </c>
      <c r="E1044" s="195" t="str">
        <f>IF(2*D1044/COS(ATAN(G103))/L346&lt;=5.7*SQRT(INPUT!$B$2/D746),"C","S")</f>
        <v>S</v>
      </c>
      <c r="F1044" s="180">
        <f>INPUT!AN12</f>
        <v>700</v>
      </c>
      <c r="G1044" s="184">
        <f>G506</f>
        <v>2800</v>
      </c>
      <c r="H1044" s="131">
        <f>IF(OR(B1044=0,C1044=0),0,IF(B1044&lt;=0,C1044/B1044,B1044/C1044))</f>
        <v>-1.0813366146812093</v>
      </c>
      <c r="I1044" s="131">
        <f>IF(INPUT!AB12=0,9/(D1044/G1044)^2,IF(INPUT!AB12=0=1,IF(AND(B1044&lt;=0,C1044&lt;=0),7.2,IF(F1044/D1044&gt;=0.4,MAX(5.17/(F1044/G1044)^2,9/(D1044/G1044)^2),11.64/((D1044-F1044)/G1044)^2)),IF(H1044&gt;=-1,247.8*((F1044/D1044)^1.8)*(1-H1044)^2.7,247.8*(1-H1044)^0.32)))</f>
        <v>313.30753940804465</v>
      </c>
      <c r="J1044" s="131">
        <f>MIN(0.9*INPUT!$B$2*I1044/(G1044/COS(ATAN(G103))/L346)^2,N346*D746,INPUT!AQ12/0.7)</f>
        <v>0</v>
      </c>
      <c r="K1044" s="201" t="str">
        <f>IF(OR(E1044="C",B1044&gt;=0),"-",IF(ABS(B1044)&lt;=J1044,"OK","NG"))</f>
        <v>-</v>
      </c>
      <c r="L1044" s="200" t="str">
        <f>IF(OR(E1044="C",B1044&gt;=0),"-",J1044/ABS(B1044))</f>
        <v>-</v>
      </c>
      <c r="M1044" s="201" t="str">
        <f>IF(OR(E1044="C",C1044&gt;=0),"-",IF(ABS(C1044)&lt;=J1044,"OK","NG"))</f>
        <v>NG</v>
      </c>
      <c r="N1044" s="203">
        <f>IF(OR(E1044="C",C1044&gt;=0),"-",J1044/ABS(C1044))</f>
        <v>0</v>
      </c>
    </row>
    <row r="1045">
      <c r="A1045" s="182">
        <f>A916</f>
        <v>101</v>
      </c>
      <c r="B1045" s="198">
        <f>B184</f>
        <v>0.60695545900194237</v>
      </c>
      <c r="C1045" s="198">
        <f>C184</f>
        <v>-0.5613011256267133</v>
      </c>
      <c r="D1045" s="183">
        <f>INPUT!BA13</f>
        <v>1349.6250153914068</v>
      </c>
      <c r="E1045" s="195" t="str">
        <f>IF(2*D1045/COS(ATAN(G104))/L347&lt;=5.7*SQRT(INPUT!$B$2/D747),"C","S")</f>
        <v>S</v>
      </c>
      <c r="F1045" s="180">
        <f>INPUT!AN13</f>
        <v>700</v>
      </c>
      <c r="G1045" s="184">
        <f>G507</f>
        <v>2800</v>
      </c>
      <c r="H1045" s="131">
        <f>IF(OR(B1045=0,C1045=0),0,IF(B1045&lt;=0,C1045/B1045,B1045/C1045))</f>
        <v>-1.0813366146812093</v>
      </c>
      <c r="I1045" s="131">
        <f>IF(INPUT!AB13=0,9/(D1045/G1045)^2,IF(INPUT!AB13=0=1,IF(AND(B1045&lt;=0,C1045&lt;=0),7.2,IF(F1045/D1045&gt;=0.4,MAX(5.17/(F1045/G1045)^2,9/(D1045/G1045)^2),11.64/((D1045-F1045)/G1045)^2)),IF(H1045&gt;=-1,247.8*((F1045/D1045)^1.8)*(1-H1045)^2.7,247.8*(1-H1045)^0.32)))</f>
        <v>313.30753940804465</v>
      </c>
      <c r="J1045" s="131">
        <f>MIN(0.9*INPUT!$B$2*I1045/(G1045/COS(ATAN(G104))/L347)^2,N347*D747,INPUT!AQ13/0.7)</f>
        <v>0</v>
      </c>
      <c r="K1045" s="201" t="str">
        <f>IF(OR(E1045="C",B1045&gt;=0),"-",IF(ABS(B1045)&lt;=J1045,"OK","NG"))</f>
        <v>-</v>
      </c>
      <c r="L1045" s="200" t="str">
        <f>IF(OR(E1045="C",B1045&gt;=0),"-",J1045/ABS(B1045))</f>
        <v>-</v>
      </c>
      <c r="M1045" s="201" t="str">
        <f>IF(OR(E1045="C",C1045&gt;=0),"-",IF(ABS(C1045)&lt;=J1045,"OK","NG"))</f>
        <v>NG</v>
      </c>
      <c r="N1045" s="203">
        <f>IF(OR(E1045="C",C1045&gt;=0),"-",J1045/ABS(C1045))</f>
        <v>0</v>
      </c>
    </row>
    <row r="1046">
      <c r="A1046" s="182">
        <f>A917</f>
        <v>101</v>
      </c>
      <c r="B1046" s="198">
        <f>B185</f>
        <v>0.60695545900194237</v>
      </c>
      <c r="C1046" s="198">
        <f>C185</f>
        <v>-0.5613011256267133</v>
      </c>
      <c r="D1046" s="183">
        <f>INPUT!BA14</f>
        <v>1349.6250153914068</v>
      </c>
      <c r="E1046" s="195" t="str">
        <f>IF(2*D1046/COS(ATAN(G105))/L348&lt;=5.7*SQRT(INPUT!$B$2/D748),"C","S")</f>
        <v>S</v>
      </c>
      <c r="F1046" s="180">
        <f>INPUT!AN14</f>
        <v>700</v>
      </c>
      <c r="G1046" s="184">
        <f>G508</f>
        <v>2800</v>
      </c>
      <c r="H1046" s="131">
        <f>IF(OR(B1046=0,C1046=0),0,IF(B1046&lt;=0,C1046/B1046,B1046/C1046))</f>
        <v>-1.0813366146812093</v>
      </c>
      <c r="I1046" s="131">
        <f>IF(INPUT!AB14=0,9/(D1046/G1046)^2,IF(INPUT!AB14=0=1,IF(AND(B1046&lt;=0,C1046&lt;=0),7.2,IF(F1046/D1046&gt;=0.4,MAX(5.17/(F1046/G1046)^2,9/(D1046/G1046)^2),11.64/((D1046-F1046)/G1046)^2)),IF(H1046&gt;=-1,247.8*((F1046/D1046)^1.8)*(1-H1046)^2.7,247.8*(1-H1046)^0.32)))</f>
        <v>313.30753940804465</v>
      </c>
      <c r="J1046" s="131">
        <f>MIN(0.9*INPUT!$B$2*I1046/(G1046/COS(ATAN(G105))/L348)^2,N348*D748,INPUT!AQ14/0.7)</f>
        <v>0</v>
      </c>
      <c r="K1046" s="201" t="str">
        <f>IF(OR(E1046="C",B1046&gt;=0),"-",IF(ABS(B1046)&lt;=J1046,"OK","NG"))</f>
        <v>-</v>
      </c>
      <c r="L1046" s="200" t="str">
        <f>IF(OR(E1046="C",B1046&gt;=0),"-",J1046/ABS(B1046))</f>
        <v>-</v>
      </c>
      <c r="M1046" s="201" t="str">
        <f>IF(OR(E1046="C",C1046&gt;=0),"-",IF(ABS(C1046)&lt;=J1046,"OK","NG"))</f>
        <v>NG</v>
      </c>
      <c r="N1046" s="203">
        <f>IF(OR(E1046="C",C1046&gt;=0),"-",J1046/ABS(C1046))</f>
        <v>0</v>
      </c>
    </row>
    <row r="1047">
      <c r="A1047" s="182">
        <f>A918</f>
        <v>101</v>
      </c>
      <c r="B1047" s="198">
        <f>B186</f>
        <v>0.60695545900194237</v>
      </c>
      <c r="C1047" s="198">
        <f>C186</f>
        <v>-0.5613011256267133</v>
      </c>
      <c r="D1047" s="183">
        <f>INPUT!BA15</f>
        <v>1349.6250153914068</v>
      </c>
      <c r="E1047" s="195" t="str">
        <f>IF(2*D1047/COS(ATAN(G106))/L349&lt;=5.7*SQRT(INPUT!$B$2/D749),"C","S")</f>
        <v>S</v>
      </c>
      <c r="F1047" s="180">
        <f>INPUT!AN15</f>
        <v>700</v>
      </c>
      <c r="G1047" s="184">
        <f>G509</f>
        <v>2800</v>
      </c>
      <c r="H1047" s="131">
        <f>IF(OR(B1047=0,C1047=0),0,IF(B1047&lt;=0,C1047/B1047,B1047/C1047))</f>
        <v>-1.0813366146812093</v>
      </c>
      <c r="I1047" s="131">
        <f>IF(INPUT!AB15=0,9/(D1047/G1047)^2,IF(INPUT!AB15=0=1,IF(AND(B1047&lt;=0,C1047&lt;=0),7.2,IF(F1047/D1047&gt;=0.4,MAX(5.17/(F1047/G1047)^2,9/(D1047/G1047)^2),11.64/((D1047-F1047)/G1047)^2)),IF(H1047&gt;=-1,247.8*((F1047/D1047)^1.8)*(1-H1047)^2.7,247.8*(1-H1047)^0.32)))</f>
        <v>313.30753940804465</v>
      </c>
      <c r="J1047" s="131">
        <f>MIN(0.9*INPUT!$B$2*I1047/(G1047/COS(ATAN(G106))/L349)^2,N349*D749,INPUT!AQ15/0.7)</f>
        <v>0</v>
      </c>
      <c r="K1047" s="201" t="str">
        <f>IF(OR(E1047="C",B1047&gt;=0),"-",IF(ABS(B1047)&lt;=J1047,"OK","NG"))</f>
        <v>-</v>
      </c>
      <c r="L1047" s="200" t="str">
        <f>IF(OR(E1047="C",B1047&gt;=0),"-",J1047/ABS(B1047))</f>
        <v>-</v>
      </c>
      <c r="M1047" s="201" t="str">
        <f>IF(OR(E1047="C",C1047&gt;=0),"-",IF(ABS(C1047)&lt;=J1047,"OK","NG"))</f>
        <v>NG</v>
      </c>
      <c r="N1047" s="203">
        <f>IF(OR(E1047="C",C1047&gt;=0),"-",J1047/ABS(C1047))</f>
        <v>0</v>
      </c>
    </row>
    <row r="1048">
      <c r="A1048" s="182">
        <f>A919</f>
        <v>101</v>
      </c>
      <c r="B1048" s="198">
        <f>B187</f>
        <v>0.60695545900194237</v>
      </c>
      <c r="C1048" s="198">
        <f>C187</f>
        <v>-0.5613011256267133</v>
      </c>
      <c r="D1048" s="183">
        <f>INPUT!BA16</f>
        <v>1349.6250153914068</v>
      </c>
      <c r="E1048" s="195" t="str">
        <f>IF(2*D1048/COS(ATAN(G107))/L350&lt;=5.7*SQRT(INPUT!$B$2/D750),"C","S")</f>
        <v>S</v>
      </c>
      <c r="F1048" s="180">
        <f>INPUT!AN16</f>
        <v>700</v>
      </c>
      <c r="G1048" s="184">
        <f>G510</f>
        <v>2800</v>
      </c>
      <c r="H1048" s="131">
        <f>IF(OR(B1048=0,C1048=0),0,IF(B1048&lt;=0,C1048/B1048,B1048/C1048))</f>
        <v>-1.0813366146812093</v>
      </c>
      <c r="I1048" s="131">
        <f>IF(INPUT!AB16=0,9/(D1048/G1048)^2,IF(INPUT!AB16=0=1,IF(AND(B1048&lt;=0,C1048&lt;=0),7.2,IF(F1048/D1048&gt;=0.4,MAX(5.17/(F1048/G1048)^2,9/(D1048/G1048)^2),11.64/((D1048-F1048)/G1048)^2)),IF(H1048&gt;=-1,247.8*((F1048/D1048)^1.8)*(1-H1048)^2.7,247.8*(1-H1048)^0.32)))</f>
        <v>313.30753940804465</v>
      </c>
      <c r="J1048" s="131">
        <f>MIN(0.9*INPUT!$B$2*I1048/(G1048/COS(ATAN(G107))/L350)^2,N350*D750,INPUT!AQ16/0.7)</f>
        <v>0</v>
      </c>
      <c r="K1048" s="201" t="str">
        <f>IF(OR(E1048="C",B1048&gt;=0),"-",IF(ABS(B1048)&lt;=J1048,"OK","NG"))</f>
        <v>-</v>
      </c>
      <c r="L1048" s="200" t="str">
        <f>IF(OR(E1048="C",B1048&gt;=0),"-",J1048/ABS(B1048))</f>
        <v>-</v>
      </c>
      <c r="M1048" s="201" t="str">
        <f>IF(OR(E1048="C",C1048&gt;=0),"-",IF(ABS(C1048)&lt;=J1048,"OK","NG"))</f>
        <v>NG</v>
      </c>
      <c r="N1048" s="203">
        <f>IF(OR(E1048="C",C1048&gt;=0),"-",J1048/ABS(C1048))</f>
        <v>0</v>
      </c>
    </row>
    <row r="1049">
      <c r="A1049" s="182">
        <f>A920</f>
        <v>101</v>
      </c>
      <c r="B1049" s="198">
        <f>B188</f>
        <v>0.60695545900194237</v>
      </c>
      <c r="C1049" s="198">
        <f>C188</f>
        <v>-0.5613011256267133</v>
      </c>
      <c r="D1049" s="183">
        <f>INPUT!BA17</f>
        <v>1349.6250153914068</v>
      </c>
      <c r="E1049" s="195" t="str">
        <f>IF(2*D1049/COS(ATAN(G108))/L351&lt;=5.7*SQRT(INPUT!$B$2/D751),"C","S")</f>
        <v>S</v>
      </c>
      <c r="F1049" s="180">
        <f>INPUT!AN17</f>
        <v>700</v>
      </c>
      <c r="G1049" s="184">
        <f>G511</f>
        <v>2800</v>
      </c>
      <c r="H1049" s="131">
        <f>IF(OR(B1049=0,C1049=0),0,IF(B1049&lt;=0,C1049/B1049,B1049/C1049))</f>
        <v>-1.0813366146812093</v>
      </c>
      <c r="I1049" s="131">
        <f>IF(INPUT!AB17=0,9/(D1049/G1049)^2,IF(INPUT!AB17=0=1,IF(AND(B1049&lt;=0,C1049&lt;=0),7.2,IF(F1049/D1049&gt;=0.4,MAX(5.17/(F1049/G1049)^2,9/(D1049/G1049)^2),11.64/((D1049-F1049)/G1049)^2)),IF(H1049&gt;=-1,247.8*((F1049/D1049)^1.8)*(1-H1049)^2.7,247.8*(1-H1049)^0.32)))</f>
        <v>313.30753940804465</v>
      </c>
      <c r="J1049" s="131">
        <f>MIN(0.9*INPUT!$B$2*I1049/(G1049/COS(ATAN(G108))/L351)^2,N351*D751,INPUT!AQ17/0.7)</f>
        <v>0</v>
      </c>
      <c r="K1049" s="201" t="str">
        <f>IF(OR(E1049="C",B1049&gt;=0),"-",IF(ABS(B1049)&lt;=J1049,"OK","NG"))</f>
        <v>-</v>
      </c>
      <c r="L1049" s="200" t="str">
        <f>IF(OR(E1049="C",B1049&gt;=0),"-",J1049/ABS(B1049))</f>
        <v>-</v>
      </c>
      <c r="M1049" s="201" t="str">
        <f>IF(OR(E1049="C",C1049&gt;=0),"-",IF(ABS(C1049)&lt;=J1049,"OK","NG"))</f>
        <v>NG</v>
      </c>
      <c r="N1049" s="203">
        <f>IF(OR(E1049="C",C1049&gt;=0),"-",J1049/ABS(C1049))</f>
        <v>0</v>
      </c>
    </row>
    <row r="1050">
      <c r="A1050" s="182">
        <f>A921</f>
        <v>101</v>
      </c>
      <c r="B1050" s="198">
        <f>B189</f>
        <v>0.60695545900194237</v>
      </c>
      <c r="C1050" s="198">
        <f>C189</f>
        <v>-0.5613011256267133</v>
      </c>
      <c r="D1050" s="183">
        <f>INPUT!BA18</f>
        <v>1349.6250153914068</v>
      </c>
      <c r="E1050" s="195" t="str">
        <f>IF(2*D1050/COS(ATAN(G109))/L352&lt;=5.7*SQRT(INPUT!$B$2/D752),"C","S")</f>
        <v>S</v>
      </c>
      <c r="F1050" s="180">
        <f>INPUT!AN18</f>
        <v>700</v>
      </c>
      <c r="G1050" s="184">
        <f>G512</f>
        <v>2800</v>
      </c>
      <c r="H1050" s="131">
        <f>IF(OR(B1050=0,C1050=0),0,IF(B1050&lt;=0,C1050/B1050,B1050/C1050))</f>
        <v>-1.0813366146812093</v>
      </c>
      <c r="I1050" s="131">
        <f>IF(INPUT!AB18=0,9/(D1050/G1050)^2,IF(INPUT!AB18=0=1,IF(AND(B1050&lt;=0,C1050&lt;=0),7.2,IF(F1050/D1050&gt;=0.4,MAX(5.17/(F1050/G1050)^2,9/(D1050/G1050)^2),11.64/((D1050-F1050)/G1050)^2)),IF(H1050&gt;=-1,247.8*((F1050/D1050)^1.8)*(1-H1050)^2.7,247.8*(1-H1050)^0.32)))</f>
        <v>313.30753940804465</v>
      </c>
      <c r="J1050" s="131">
        <f>MIN(0.9*INPUT!$B$2*I1050/(G1050/COS(ATAN(G109))/L352)^2,N352*D752,INPUT!AQ18/0.7)</f>
        <v>0</v>
      </c>
      <c r="K1050" s="201" t="str">
        <f>IF(OR(E1050="C",B1050&gt;=0),"-",IF(ABS(B1050)&lt;=J1050,"OK","NG"))</f>
        <v>-</v>
      </c>
      <c r="L1050" s="200" t="str">
        <f>IF(OR(E1050="C",B1050&gt;=0),"-",J1050/ABS(B1050))</f>
        <v>-</v>
      </c>
      <c r="M1050" s="201" t="str">
        <f>IF(OR(E1050="C",C1050&gt;=0),"-",IF(ABS(C1050)&lt;=J1050,"OK","NG"))</f>
        <v>NG</v>
      </c>
      <c r="N1050" s="203">
        <f>IF(OR(E1050="C",C1050&gt;=0),"-",J1050/ABS(C1050))</f>
        <v>0</v>
      </c>
    </row>
    <row r="1051">
      <c r="A1051" s="182">
        <f>A922</f>
        <v>101</v>
      </c>
      <c r="B1051" s="198">
        <f>B190</f>
        <v>0.60695545900194237</v>
      </c>
      <c r="C1051" s="198">
        <f>C190</f>
        <v>-0.5613011256267133</v>
      </c>
      <c r="D1051" s="183">
        <f>INPUT!BA19</f>
        <v>1349.6250153914068</v>
      </c>
      <c r="E1051" s="195" t="str">
        <f>IF(2*D1051/COS(ATAN(G110))/L353&lt;=5.7*SQRT(INPUT!$B$2/D753),"C","S")</f>
        <v>S</v>
      </c>
      <c r="F1051" s="180">
        <f>INPUT!AN19</f>
        <v>700</v>
      </c>
      <c r="G1051" s="184">
        <f>G513</f>
        <v>2800</v>
      </c>
      <c r="H1051" s="131">
        <f>IF(OR(B1051=0,C1051=0),0,IF(B1051&lt;=0,C1051/B1051,B1051/C1051))</f>
        <v>-1.0813366146812093</v>
      </c>
      <c r="I1051" s="131">
        <f>IF(INPUT!AB19=0,9/(D1051/G1051)^2,IF(INPUT!AB19=0=1,IF(AND(B1051&lt;=0,C1051&lt;=0),7.2,IF(F1051/D1051&gt;=0.4,MAX(5.17/(F1051/G1051)^2,9/(D1051/G1051)^2),11.64/((D1051-F1051)/G1051)^2)),IF(H1051&gt;=-1,247.8*((F1051/D1051)^1.8)*(1-H1051)^2.7,247.8*(1-H1051)^0.32)))</f>
        <v>313.30753940804465</v>
      </c>
      <c r="J1051" s="131">
        <f>MIN(0.9*INPUT!$B$2*I1051/(G1051/COS(ATAN(G110))/L353)^2,N353*D753,INPUT!AQ19/0.7)</f>
        <v>0</v>
      </c>
      <c r="K1051" s="201" t="str">
        <f>IF(OR(E1051="C",B1051&gt;=0),"-",IF(ABS(B1051)&lt;=J1051,"OK","NG"))</f>
        <v>-</v>
      </c>
      <c r="L1051" s="200" t="str">
        <f>IF(OR(E1051="C",B1051&gt;=0),"-",J1051/ABS(B1051))</f>
        <v>-</v>
      </c>
      <c r="M1051" s="201" t="str">
        <f>IF(OR(E1051="C",C1051&gt;=0),"-",IF(ABS(C1051)&lt;=J1051,"OK","NG"))</f>
        <v>NG</v>
      </c>
      <c r="N1051" s="203">
        <f>IF(OR(E1051="C",C1051&gt;=0),"-",J1051/ABS(C1051))</f>
        <v>0</v>
      </c>
    </row>
    <row r="1052">
      <c r="A1052" s="182">
        <f>A923</f>
        <v>101</v>
      </c>
      <c r="B1052" s="198">
        <f>B191</f>
        <v>0.60695545900194237</v>
      </c>
      <c r="C1052" s="198">
        <f>C191</f>
        <v>-0.5613011256267133</v>
      </c>
      <c r="D1052" s="183">
        <f>INPUT!BA20</f>
        <v>1349.6250153914068</v>
      </c>
      <c r="E1052" s="195" t="str">
        <f>IF(2*D1052/COS(ATAN(G111))/L354&lt;=5.7*SQRT(INPUT!$B$2/D754),"C","S")</f>
        <v>S</v>
      </c>
      <c r="F1052" s="180">
        <f>INPUT!AN20</f>
        <v>700</v>
      </c>
      <c r="G1052" s="184">
        <f>G514</f>
        <v>2800</v>
      </c>
      <c r="H1052" s="131">
        <f>IF(OR(B1052=0,C1052=0),0,IF(B1052&lt;=0,C1052/B1052,B1052/C1052))</f>
        <v>-1.0813366146812093</v>
      </c>
      <c r="I1052" s="131">
        <f>IF(INPUT!AB20=0,9/(D1052/G1052)^2,IF(INPUT!AB20=0=1,IF(AND(B1052&lt;=0,C1052&lt;=0),7.2,IF(F1052/D1052&gt;=0.4,MAX(5.17/(F1052/G1052)^2,9/(D1052/G1052)^2),11.64/((D1052-F1052)/G1052)^2)),IF(H1052&gt;=-1,247.8*((F1052/D1052)^1.8)*(1-H1052)^2.7,247.8*(1-H1052)^0.32)))</f>
        <v>313.30753940804465</v>
      </c>
      <c r="J1052" s="131">
        <f>MIN(0.9*INPUT!$B$2*I1052/(G1052/COS(ATAN(G111))/L354)^2,N354*D754,INPUT!AQ20/0.7)</f>
        <v>0</v>
      </c>
      <c r="K1052" s="201" t="str">
        <f>IF(OR(E1052="C",B1052&gt;=0),"-",IF(ABS(B1052)&lt;=J1052,"OK","NG"))</f>
        <v>-</v>
      </c>
      <c r="L1052" s="200" t="str">
        <f>IF(OR(E1052="C",B1052&gt;=0),"-",J1052/ABS(B1052))</f>
        <v>-</v>
      </c>
      <c r="M1052" s="201" t="str">
        <f>IF(OR(E1052="C",C1052&gt;=0),"-",IF(ABS(C1052)&lt;=J1052,"OK","NG"))</f>
        <v>NG</v>
      </c>
      <c r="N1052" s="203">
        <f>IF(OR(E1052="C",C1052&gt;=0),"-",J1052/ABS(C1052))</f>
        <v>0</v>
      </c>
    </row>
    <row r="1053">
      <c r="A1053" s="182">
        <f>A924</f>
        <v>101</v>
      </c>
      <c r="B1053" s="198">
        <f>B192</f>
        <v>0.60695545900194237</v>
      </c>
      <c r="C1053" s="198">
        <f>C192</f>
        <v>-0.5613011256267133</v>
      </c>
      <c r="D1053" s="183">
        <f>INPUT!BA21</f>
        <v>1349.6250153914068</v>
      </c>
      <c r="E1053" s="195" t="str">
        <f>IF(2*D1053/COS(ATAN(G112))/L355&lt;=5.7*SQRT(INPUT!$B$2/D755),"C","S")</f>
        <v>S</v>
      </c>
      <c r="F1053" s="180">
        <f>INPUT!AN21</f>
        <v>700</v>
      </c>
      <c r="G1053" s="184">
        <f>G515</f>
        <v>2800</v>
      </c>
      <c r="H1053" s="131">
        <f>IF(OR(B1053=0,C1053=0),0,IF(B1053&lt;=0,C1053/B1053,B1053/C1053))</f>
        <v>-1.0813366146812093</v>
      </c>
      <c r="I1053" s="131">
        <f>IF(INPUT!AB21=0,9/(D1053/G1053)^2,IF(INPUT!AB21=0=1,IF(AND(B1053&lt;=0,C1053&lt;=0),7.2,IF(F1053/D1053&gt;=0.4,MAX(5.17/(F1053/G1053)^2,9/(D1053/G1053)^2),11.64/((D1053-F1053)/G1053)^2)),IF(H1053&gt;=-1,247.8*((F1053/D1053)^1.8)*(1-H1053)^2.7,247.8*(1-H1053)^0.32)))</f>
        <v>313.30753940804465</v>
      </c>
      <c r="J1053" s="131">
        <f>MIN(0.9*INPUT!$B$2*I1053/(G1053/COS(ATAN(G112))/L355)^2,N355*D755,INPUT!AQ21/0.7)</f>
        <v>0</v>
      </c>
      <c r="K1053" s="201" t="str">
        <f>IF(OR(E1053="C",B1053&gt;=0),"-",IF(ABS(B1053)&lt;=J1053,"OK","NG"))</f>
        <v>-</v>
      </c>
      <c r="L1053" s="200" t="str">
        <f>IF(OR(E1053="C",B1053&gt;=0),"-",J1053/ABS(B1053))</f>
        <v>-</v>
      </c>
      <c r="M1053" s="201" t="str">
        <f>IF(OR(E1053="C",C1053&gt;=0),"-",IF(ABS(C1053)&lt;=J1053,"OK","NG"))</f>
        <v>NG</v>
      </c>
      <c r="N1053" s="203">
        <f>IF(OR(E1053="C",C1053&gt;=0),"-",J1053/ABS(C1053))</f>
        <v>0</v>
      </c>
    </row>
    <row r="1054">
      <c r="A1054" s="182">
        <f>A925</f>
        <v>101</v>
      </c>
      <c r="B1054" s="198">
        <f>B193</f>
        <v>0.60695545900194237</v>
      </c>
      <c r="C1054" s="198">
        <f>C193</f>
        <v>-0.5613011256267133</v>
      </c>
      <c r="D1054" s="183">
        <f>INPUT!BA22</f>
        <v>1349.6250153914068</v>
      </c>
      <c r="E1054" s="195" t="str">
        <f>IF(2*D1054/COS(ATAN(G113))/L356&lt;=5.7*SQRT(INPUT!$B$2/D756),"C","S")</f>
        <v>S</v>
      </c>
      <c r="F1054" s="180">
        <f>INPUT!AN22</f>
        <v>700</v>
      </c>
      <c r="G1054" s="184">
        <f>G516</f>
        <v>2800</v>
      </c>
      <c r="H1054" s="131">
        <f>IF(OR(B1054=0,C1054=0),0,IF(B1054&lt;=0,C1054/B1054,B1054/C1054))</f>
        <v>-1.0813366146812093</v>
      </c>
      <c r="I1054" s="131">
        <f>IF(INPUT!AB22=0,9/(D1054/G1054)^2,IF(INPUT!AB22=0=1,IF(AND(B1054&lt;=0,C1054&lt;=0),7.2,IF(F1054/D1054&gt;=0.4,MAX(5.17/(F1054/G1054)^2,9/(D1054/G1054)^2),11.64/((D1054-F1054)/G1054)^2)),IF(H1054&gt;=-1,247.8*((F1054/D1054)^1.8)*(1-H1054)^2.7,247.8*(1-H1054)^0.32)))</f>
        <v>313.30753940804465</v>
      </c>
      <c r="J1054" s="131">
        <f>MIN(0.9*INPUT!$B$2*I1054/(G1054/COS(ATAN(G113))/L356)^2,N356*D756,INPUT!AQ22/0.7)</f>
        <v>0</v>
      </c>
      <c r="K1054" s="201" t="str">
        <f>IF(OR(E1054="C",B1054&gt;=0),"-",IF(ABS(B1054)&lt;=J1054,"OK","NG"))</f>
        <v>-</v>
      </c>
      <c r="L1054" s="200" t="str">
        <f>IF(OR(E1054="C",B1054&gt;=0),"-",J1054/ABS(B1054))</f>
        <v>-</v>
      </c>
      <c r="M1054" s="201" t="str">
        <f>IF(OR(E1054="C",C1054&gt;=0),"-",IF(ABS(C1054)&lt;=J1054,"OK","NG"))</f>
        <v>NG</v>
      </c>
      <c r="N1054" s="203">
        <f>IF(OR(E1054="C",C1054&gt;=0),"-",J1054/ABS(C1054))</f>
        <v>0</v>
      </c>
    </row>
    <row r="1055">
      <c r="A1055" s="182">
        <f>A926</f>
        <v>101</v>
      </c>
      <c r="B1055" s="198">
        <f>B194</f>
        <v>0.60695545900194237</v>
      </c>
      <c r="C1055" s="198">
        <f>C194</f>
        <v>-0.5613011256267133</v>
      </c>
      <c r="D1055" s="183">
        <f>INPUT!BA23</f>
        <v>1349.6250153914068</v>
      </c>
      <c r="E1055" s="195" t="str">
        <f>IF(2*D1055/COS(ATAN(G114))/L357&lt;=5.7*SQRT(INPUT!$B$2/D757),"C","S")</f>
        <v>S</v>
      </c>
      <c r="F1055" s="180">
        <f>INPUT!AN23</f>
        <v>700</v>
      </c>
      <c r="G1055" s="184">
        <f>G517</f>
        <v>2800</v>
      </c>
      <c r="H1055" s="131">
        <f>IF(OR(B1055=0,C1055=0),0,IF(B1055&lt;=0,C1055/B1055,B1055/C1055))</f>
        <v>-1.0813366146812093</v>
      </c>
      <c r="I1055" s="131">
        <f>IF(INPUT!AB23=0,9/(D1055/G1055)^2,IF(INPUT!AB23=0=1,IF(AND(B1055&lt;=0,C1055&lt;=0),7.2,IF(F1055/D1055&gt;=0.4,MAX(5.17/(F1055/G1055)^2,9/(D1055/G1055)^2),11.64/((D1055-F1055)/G1055)^2)),IF(H1055&gt;=-1,247.8*((F1055/D1055)^1.8)*(1-H1055)^2.7,247.8*(1-H1055)^0.32)))</f>
        <v>313.30753940804465</v>
      </c>
      <c r="J1055" s="131">
        <f>MIN(0.9*INPUT!$B$2*I1055/(G1055/COS(ATAN(G114))/L357)^2,N357*D757,INPUT!AQ23/0.7)</f>
        <v>0</v>
      </c>
      <c r="K1055" s="201" t="str">
        <f>IF(OR(E1055="C",B1055&gt;=0),"-",IF(ABS(B1055)&lt;=J1055,"OK","NG"))</f>
        <v>-</v>
      </c>
      <c r="L1055" s="200" t="str">
        <f>IF(OR(E1055="C",B1055&gt;=0),"-",J1055/ABS(B1055))</f>
        <v>-</v>
      </c>
      <c r="M1055" s="201" t="str">
        <f>IF(OR(E1055="C",C1055&gt;=0),"-",IF(ABS(C1055)&lt;=J1055,"OK","NG"))</f>
        <v>NG</v>
      </c>
      <c r="N1055" s="203">
        <f>IF(OR(E1055="C",C1055&gt;=0),"-",J1055/ABS(C1055))</f>
        <v>0</v>
      </c>
    </row>
    <row r="1056">
      <c r="A1056" s="182">
        <f>A927</f>
        <v>101</v>
      </c>
      <c r="B1056" s="198">
        <f>B195</f>
        <v>0.60695545900194237</v>
      </c>
      <c r="C1056" s="198">
        <f>C195</f>
        <v>-0.5613011256267133</v>
      </c>
      <c r="D1056" s="183">
        <f>INPUT!BA24</f>
        <v>1349.6250153914068</v>
      </c>
      <c r="E1056" s="195" t="str">
        <f>IF(2*D1056/COS(ATAN(G115))/L358&lt;=5.7*SQRT(INPUT!$B$2/D758),"C","S")</f>
        <v>S</v>
      </c>
      <c r="F1056" s="180">
        <f>INPUT!AN24</f>
        <v>700</v>
      </c>
      <c r="G1056" s="184">
        <f>G518</f>
        <v>2800</v>
      </c>
      <c r="H1056" s="131">
        <f>IF(OR(B1056=0,C1056=0),0,IF(B1056&lt;=0,C1056/B1056,B1056/C1056))</f>
        <v>-1.0813366146812093</v>
      </c>
      <c r="I1056" s="131">
        <f>IF(INPUT!AB24=0,9/(D1056/G1056)^2,IF(INPUT!AB24=0=1,IF(AND(B1056&lt;=0,C1056&lt;=0),7.2,IF(F1056/D1056&gt;=0.4,MAX(5.17/(F1056/G1056)^2,9/(D1056/G1056)^2),11.64/((D1056-F1056)/G1056)^2)),IF(H1056&gt;=-1,247.8*((F1056/D1056)^1.8)*(1-H1056)^2.7,247.8*(1-H1056)^0.32)))</f>
        <v>313.30753940804465</v>
      </c>
      <c r="J1056" s="131">
        <f>MIN(0.9*INPUT!$B$2*I1056/(G1056/COS(ATAN(G115))/L358)^2,N358*D758,INPUT!AQ24/0.7)</f>
        <v>0</v>
      </c>
      <c r="K1056" s="201" t="str">
        <f>IF(OR(E1056="C",B1056&gt;=0),"-",IF(ABS(B1056)&lt;=J1056,"OK","NG"))</f>
        <v>-</v>
      </c>
      <c r="L1056" s="200" t="str">
        <f>IF(OR(E1056="C",B1056&gt;=0),"-",J1056/ABS(B1056))</f>
        <v>-</v>
      </c>
      <c r="M1056" s="201" t="str">
        <f>IF(OR(E1056="C",C1056&gt;=0),"-",IF(ABS(C1056)&lt;=J1056,"OK","NG"))</f>
        <v>NG</v>
      </c>
      <c r="N1056" s="203">
        <f>IF(OR(E1056="C",C1056&gt;=0),"-",J1056/ABS(C1056))</f>
        <v>0</v>
      </c>
    </row>
    <row r="1057">
      <c r="A1057" s="182">
        <f>A928</f>
        <v>101</v>
      </c>
      <c r="B1057" s="198">
        <f>B196</f>
        <v>0.60695545900194237</v>
      </c>
      <c r="C1057" s="198">
        <f>C196</f>
        <v>-0.5613011256267133</v>
      </c>
      <c r="D1057" s="183">
        <f>INPUT!BA25</f>
        <v>1349.6250153914068</v>
      </c>
      <c r="E1057" s="195" t="str">
        <f>IF(2*D1057/COS(ATAN(G116))/L359&lt;=5.7*SQRT(INPUT!$B$2/D759),"C","S")</f>
        <v>S</v>
      </c>
      <c r="F1057" s="180">
        <f>INPUT!AN25</f>
        <v>700</v>
      </c>
      <c r="G1057" s="184">
        <f>G519</f>
        <v>2800</v>
      </c>
      <c r="H1057" s="131">
        <f>IF(OR(B1057=0,C1057=0),0,IF(B1057&lt;=0,C1057/B1057,B1057/C1057))</f>
        <v>-1.0813366146812093</v>
      </c>
      <c r="I1057" s="131">
        <f>IF(INPUT!AB25=0,9/(D1057/G1057)^2,IF(INPUT!AB25=0=1,IF(AND(B1057&lt;=0,C1057&lt;=0),7.2,IF(F1057/D1057&gt;=0.4,MAX(5.17/(F1057/G1057)^2,9/(D1057/G1057)^2),11.64/((D1057-F1057)/G1057)^2)),IF(H1057&gt;=-1,247.8*((F1057/D1057)^1.8)*(1-H1057)^2.7,247.8*(1-H1057)^0.32)))</f>
        <v>313.30753940804465</v>
      </c>
      <c r="J1057" s="131">
        <f>MIN(0.9*INPUT!$B$2*I1057/(G1057/COS(ATAN(G116))/L359)^2,N359*D759,INPUT!AQ25/0.7)</f>
        <v>0</v>
      </c>
      <c r="K1057" s="201" t="str">
        <f>IF(OR(E1057="C",B1057&gt;=0),"-",IF(ABS(B1057)&lt;=J1057,"OK","NG"))</f>
        <v>-</v>
      </c>
      <c r="L1057" s="200" t="str">
        <f>IF(OR(E1057="C",B1057&gt;=0),"-",J1057/ABS(B1057))</f>
        <v>-</v>
      </c>
      <c r="M1057" s="201" t="str">
        <f>IF(OR(E1057="C",C1057&gt;=0),"-",IF(ABS(C1057)&lt;=J1057,"OK","NG"))</f>
        <v>NG</v>
      </c>
      <c r="N1057" s="203">
        <f>IF(OR(E1057="C",C1057&gt;=0),"-",J1057/ABS(C1057))</f>
        <v>0</v>
      </c>
    </row>
    <row r="1058">
      <c r="A1058" s="182">
        <f>A929</f>
        <v>101</v>
      </c>
      <c r="B1058" s="198">
        <f>B197</f>
        <v>0.60695545900194237</v>
      </c>
      <c r="C1058" s="198">
        <f>C197</f>
        <v>-0.5613011256267133</v>
      </c>
      <c r="D1058" s="183">
        <f>INPUT!BA26</f>
        <v>1349.6250153914068</v>
      </c>
      <c r="E1058" s="195" t="str">
        <f>IF(2*D1058/COS(ATAN(G117))/L360&lt;=5.7*SQRT(INPUT!$B$2/D760),"C","S")</f>
        <v>S</v>
      </c>
      <c r="F1058" s="180">
        <f>INPUT!AN26</f>
        <v>700</v>
      </c>
      <c r="G1058" s="184">
        <f>G520</f>
        <v>2800</v>
      </c>
      <c r="H1058" s="131">
        <f>IF(OR(B1058=0,C1058=0),0,IF(B1058&lt;=0,C1058/B1058,B1058/C1058))</f>
        <v>-1.0813366146812093</v>
      </c>
      <c r="I1058" s="131">
        <f>IF(INPUT!AB26=0,9/(D1058/G1058)^2,IF(INPUT!AB26=0=1,IF(AND(B1058&lt;=0,C1058&lt;=0),7.2,IF(F1058/D1058&gt;=0.4,MAX(5.17/(F1058/G1058)^2,9/(D1058/G1058)^2),11.64/((D1058-F1058)/G1058)^2)),IF(H1058&gt;=-1,247.8*((F1058/D1058)^1.8)*(1-H1058)^2.7,247.8*(1-H1058)^0.32)))</f>
        <v>313.30753940804465</v>
      </c>
      <c r="J1058" s="131">
        <f>MIN(0.9*INPUT!$B$2*I1058/(G1058/COS(ATAN(G117))/L360)^2,N360*D760,INPUT!AQ26/0.7)</f>
        <v>0</v>
      </c>
      <c r="K1058" s="201" t="str">
        <f>IF(OR(E1058="C",B1058&gt;=0),"-",IF(ABS(B1058)&lt;=J1058,"OK","NG"))</f>
        <v>-</v>
      </c>
      <c r="L1058" s="200" t="str">
        <f>IF(OR(E1058="C",B1058&gt;=0),"-",J1058/ABS(B1058))</f>
        <v>-</v>
      </c>
      <c r="M1058" s="201" t="str">
        <f>IF(OR(E1058="C",C1058&gt;=0),"-",IF(ABS(C1058)&lt;=J1058,"OK","NG"))</f>
        <v>NG</v>
      </c>
      <c r="N1058" s="203">
        <f>IF(OR(E1058="C",C1058&gt;=0),"-",J1058/ABS(C1058))</f>
        <v>0</v>
      </c>
    </row>
    <row r="1059">
      <c r="A1059" s="182">
        <f>A930</f>
        <v>101</v>
      </c>
      <c r="B1059" s="198">
        <f>B198</f>
        <v>0.60695545900194237</v>
      </c>
      <c r="C1059" s="198">
        <f>C198</f>
        <v>-0.5613011256267133</v>
      </c>
      <c r="D1059" s="183">
        <f>INPUT!BA27</f>
        <v>1349.6250153914068</v>
      </c>
      <c r="E1059" s="195" t="str">
        <f>IF(2*D1059/COS(ATAN(G118))/L361&lt;=5.7*SQRT(INPUT!$B$2/D761),"C","S")</f>
        <v>S</v>
      </c>
      <c r="F1059" s="180">
        <f>INPUT!AN27</f>
        <v>700</v>
      </c>
      <c r="G1059" s="184">
        <f>G521</f>
        <v>2800</v>
      </c>
      <c r="H1059" s="131">
        <f>IF(OR(B1059=0,C1059=0),0,IF(B1059&lt;=0,C1059/B1059,B1059/C1059))</f>
        <v>-1.0813366146812093</v>
      </c>
      <c r="I1059" s="131">
        <f>IF(INPUT!AB27=0,9/(D1059/G1059)^2,IF(INPUT!AB27=0=1,IF(AND(B1059&lt;=0,C1059&lt;=0),7.2,IF(F1059/D1059&gt;=0.4,MAX(5.17/(F1059/G1059)^2,9/(D1059/G1059)^2),11.64/((D1059-F1059)/G1059)^2)),IF(H1059&gt;=-1,247.8*((F1059/D1059)^1.8)*(1-H1059)^2.7,247.8*(1-H1059)^0.32)))</f>
        <v>313.30753940804465</v>
      </c>
      <c r="J1059" s="131">
        <f>MIN(0.9*INPUT!$B$2*I1059/(G1059/COS(ATAN(G118))/L361)^2,N361*D761,INPUT!AQ27/0.7)</f>
        <v>0</v>
      </c>
      <c r="K1059" s="201" t="str">
        <f>IF(OR(E1059="C",B1059&gt;=0),"-",IF(ABS(B1059)&lt;=J1059,"OK","NG"))</f>
        <v>-</v>
      </c>
      <c r="L1059" s="200" t="str">
        <f>IF(OR(E1059="C",B1059&gt;=0),"-",J1059/ABS(B1059))</f>
        <v>-</v>
      </c>
      <c r="M1059" s="201" t="str">
        <f>IF(OR(E1059="C",C1059&gt;=0),"-",IF(ABS(C1059)&lt;=J1059,"OK","NG"))</f>
        <v>NG</v>
      </c>
      <c r="N1059" s="203">
        <f>IF(OR(E1059="C",C1059&gt;=0),"-",J1059/ABS(C1059))</f>
        <v>0</v>
      </c>
    </row>
    <row r="1060">
      <c r="A1060" s="182">
        <f>A931</f>
        <v>101</v>
      </c>
      <c r="B1060" s="198">
        <f>B199</f>
        <v>0.60695545900194237</v>
      </c>
      <c r="C1060" s="198">
        <f>C199</f>
        <v>-0.5613011256267133</v>
      </c>
      <c r="D1060" s="183">
        <f>INPUT!BA28</f>
        <v>1349.6250153914068</v>
      </c>
      <c r="E1060" s="195" t="str">
        <f>IF(2*D1060/COS(ATAN(G119))/L362&lt;=5.7*SQRT(INPUT!$B$2/D762),"C","S")</f>
        <v>S</v>
      </c>
      <c r="F1060" s="180">
        <f>INPUT!AN28</f>
        <v>700</v>
      </c>
      <c r="G1060" s="184">
        <f>G522</f>
        <v>2800</v>
      </c>
      <c r="H1060" s="131">
        <f>IF(OR(B1060=0,C1060=0),0,IF(B1060&lt;=0,C1060/B1060,B1060/C1060))</f>
        <v>-1.0813366146812093</v>
      </c>
      <c r="I1060" s="131">
        <f>IF(INPUT!AB28=0,9/(D1060/G1060)^2,IF(INPUT!AB28=0=1,IF(AND(B1060&lt;=0,C1060&lt;=0),7.2,IF(F1060/D1060&gt;=0.4,MAX(5.17/(F1060/G1060)^2,9/(D1060/G1060)^2),11.64/((D1060-F1060)/G1060)^2)),IF(H1060&gt;=-1,247.8*((F1060/D1060)^1.8)*(1-H1060)^2.7,247.8*(1-H1060)^0.32)))</f>
        <v>313.30753940804465</v>
      </c>
      <c r="J1060" s="131">
        <f>MIN(0.9*INPUT!$B$2*I1060/(G1060/COS(ATAN(G119))/L362)^2,N362*D762,INPUT!AQ28/0.7)</f>
        <v>0</v>
      </c>
      <c r="K1060" s="201" t="str">
        <f>IF(OR(E1060="C",B1060&gt;=0),"-",IF(ABS(B1060)&lt;=J1060,"OK","NG"))</f>
        <v>-</v>
      </c>
      <c r="L1060" s="200" t="str">
        <f>IF(OR(E1060="C",B1060&gt;=0),"-",J1060/ABS(B1060))</f>
        <v>-</v>
      </c>
      <c r="M1060" s="201" t="str">
        <f>IF(OR(E1060="C",C1060&gt;=0),"-",IF(ABS(C1060)&lt;=J1060,"OK","NG"))</f>
        <v>NG</v>
      </c>
      <c r="N1060" s="203">
        <f>IF(OR(E1060="C",C1060&gt;=0),"-",J1060/ABS(C1060))</f>
        <v>0</v>
      </c>
    </row>
    <row r="1061">
      <c r="A1061" s="182">
        <f>A932</f>
        <v>101</v>
      </c>
      <c r="B1061" s="198">
        <f>B200</f>
        <v>0.60695545900194237</v>
      </c>
      <c r="C1061" s="198">
        <f>C200</f>
        <v>-0.5613011256267133</v>
      </c>
      <c r="D1061" s="183">
        <f>INPUT!BA29</f>
        <v>1349.6250153914068</v>
      </c>
      <c r="E1061" s="195" t="str">
        <f>IF(2*D1061/COS(ATAN(G120))/L363&lt;=5.7*SQRT(INPUT!$B$2/D763),"C","S")</f>
        <v>S</v>
      </c>
      <c r="F1061" s="180">
        <f>INPUT!AN29</f>
        <v>700</v>
      </c>
      <c r="G1061" s="184">
        <f>G523</f>
        <v>2800</v>
      </c>
      <c r="H1061" s="131">
        <f>IF(OR(B1061=0,C1061=0),0,IF(B1061&lt;=0,C1061/B1061,B1061/C1061))</f>
        <v>-1.0813366146812093</v>
      </c>
      <c r="I1061" s="131">
        <f>IF(INPUT!AB29=0,9/(D1061/G1061)^2,IF(INPUT!AB29=0=1,IF(AND(B1061&lt;=0,C1061&lt;=0),7.2,IF(F1061/D1061&gt;=0.4,MAX(5.17/(F1061/G1061)^2,9/(D1061/G1061)^2),11.64/((D1061-F1061)/G1061)^2)),IF(H1061&gt;=-1,247.8*((F1061/D1061)^1.8)*(1-H1061)^2.7,247.8*(1-H1061)^0.32)))</f>
        <v>313.30753940804465</v>
      </c>
      <c r="J1061" s="131">
        <f>MIN(0.9*INPUT!$B$2*I1061/(G1061/COS(ATAN(G120))/L363)^2,N363*D763,INPUT!AQ29/0.7)</f>
        <v>0</v>
      </c>
      <c r="K1061" s="201" t="str">
        <f>IF(OR(E1061="C",B1061&gt;=0),"-",IF(ABS(B1061)&lt;=J1061,"OK","NG"))</f>
        <v>-</v>
      </c>
      <c r="L1061" s="200" t="str">
        <f>IF(OR(E1061="C",B1061&gt;=0),"-",J1061/ABS(B1061))</f>
        <v>-</v>
      </c>
      <c r="M1061" s="201" t="str">
        <f>IF(OR(E1061="C",C1061&gt;=0),"-",IF(ABS(C1061)&lt;=J1061,"OK","NG"))</f>
        <v>NG</v>
      </c>
      <c r="N1061" s="203">
        <f>IF(OR(E1061="C",C1061&gt;=0),"-",J1061/ABS(C1061))</f>
        <v>0</v>
      </c>
    </row>
    <row r="1062">
      <c r="A1062" s="182">
        <f>A933</f>
        <v>101</v>
      </c>
      <c r="B1062" s="198">
        <f>B201</f>
        <v>0.60695545900194237</v>
      </c>
      <c r="C1062" s="198">
        <f>C201</f>
        <v>-0.5613011256267133</v>
      </c>
      <c r="D1062" s="183">
        <f>INPUT!BA30</f>
        <v>1349.6250153914068</v>
      </c>
      <c r="E1062" s="195" t="str">
        <f>IF(2*D1062/COS(ATAN(G121))/L364&lt;=5.7*SQRT(INPUT!$B$2/D764),"C","S")</f>
        <v>S</v>
      </c>
      <c r="F1062" s="180">
        <f>INPUT!AN30</f>
        <v>700</v>
      </c>
      <c r="G1062" s="184">
        <f>G524</f>
        <v>2800</v>
      </c>
      <c r="H1062" s="131">
        <f>IF(OR(B1062=0,C1062=0),0,IF(B1062&lt;=0,C1062/B1062,B1062/C1062))</f>
        <v>-1.0813366146812093</v>
      </c>
      <c r="I1062" s="131">
        <f>IF(INPUT!AB30=0,9/(D1062/G1062)^2,IF(INPUT!AB30=0=1,IF(AND(B1062&lt;=0,C1062&lt;=0),7.2,IF(F1062/D1062&gt;=0.4,MAX(5.17/(F1062/G1062)^2,9/(D1062/G1062)^2),11.64/((D1062-F1062)/G1062)^2)),IF(H1062&gt;=-1,247.8*((F1062/D1062)^1.8)*(1-H1062)^2.7,247.8*(1-H1062)^0.32)))</f>
        <v>313.30753940804465</v>
      </c>
      <c r="J1062" s="131">
        <f>MIN(0.9*INPUT!$B$2*I1062/(G1062/COS(ATAN(G121))/L364)^2,N364*D764,INPUT!AQ30/0.7)</f>
        <v>0</v>
      </c>
      <c r="K1062" s="201" t="str">
        <f>IF(OR(E1062="C",B1062&gt;=0),"-",IF(ABS(B1062)&lt;=J1062,"OK","NG"))</f>
        <v>-</v>
      </c>
      <c r="L1062" s="200" t="str">
        <f>IF(OR(E1062="C",B1062&gt;=0),"-",J1062/ABS(B1062))</f>
        <v>-</v>
      </c>
      <c r="M1062" s="201" t="str">
        <f>IF(OR(E1062="C",C1062&gt;=0),"-",IF(ABS(C1062)&lt;=J1062,"OK","NG"))</f>
        <v>NG</v>
      </c>
      <c r="N1062" s="203">
        <f>IF(OR(E1062="C",C1062&gt;=0),"-",J1062/ABS(C1062))</f>
        <v>0</v>
      </c>
    </row>
    <row r="1063">
      <c r="A1063" s="182">
        <f>A934</f>
        <v>101</v>
      </c>
      <c r="B1063" s="198">
        <f>B202</f>
        <v>0.60695545900194237</v>
      </c>
      <c r="C1063" s="198">
        <f>C202</f>
        <v>-0.5613011256267133</v>
      </c>
      <c r="D1063" s="183">
        <f>INPUT!BA31</f>
        <v>1349.6250153914068</v>
      </c>
      <c r="E1063" s="195" t="str">
        <f>IF(2*D1063/COS(ATAN(G122))/L365&lt;=5.7*SQRT(INPUT!$B$2/D765),"C","S")</f>
        <v>S</v>
      </c>
      <c r="F1063" s="180">
        <f>INPUT!AN31</f>
        <v>700</v>
      </c>
      <c r="G1063" s="184">
        <f>G525</f>
        <v>2800</v>
      </c>
      <c r="H1063" s="131">
        <f>IF(OR(B1063=0,C1063=0),0,IF(B1063&lt;=0,C1063/B1063,B1063/C1063))</f>
        <v>-1.0813366146812093</v>
      </c>
      <c r="I1063" s="131">
        <f>IF(INPUT!AB31=0,9/(D1063/G1063)^2,IF(INPUT!AB31=0=1,IF(AND(B1063&lt;=0,C1063&lt;=0),7.2,IF(F1063/D1063&gt;=0.4,MAX(5.17/(F1063/G1063)^2,9/(D1063/G1063)^2),11.64/((D1063-F1063)/G1063)^2)),IF(H1063&gt;=-1,247.8*((F1063/D1063)^1.8)*(1-H1063)^2.7,247.8*(1-H1063)^0.32)))</f>
        <v>313.30753940804465</v>
      </c>
      <c r="J1063" s="131">
        <f>MIN(0.9*INPUT!$B$2*I1063/(G1063/COS(ATAN(G122))/L365)^2,N365*D765,INPUT!AQ31/0.7)</f>
        <v>0</v>
      </c>
      <c r="K1063" s="201" t="str">
        <f>IF(OR(E1063="C",B1063&gt;=0),"-",IF(ABS(B1063)&lt;=J1063,"OK","NG"))</f>
        <v>-</v>
      </c>
      <c r="L1063" s="200" t="str">
        <f>IF(OR(E1063="C",B1063&gt;=0),"-",J1063/ABS(B1063))</f>
        <v>-</v>
      </c>
      <c r="M1063" s="201" t="str">
        <f>IF(OR(E1063="C",C1063&gt;=0),"-",IF(ABS(C1063)&lt;=J1063,"OK","NG"))</f>
        <v>NG</v>
      </c>
      <c r="N1063" s="203">
        <f>IF(OR(E1063="C",C1063&gt;=0),"-",J1063/ABS(C1063))</f>
        <v>0</v>
      </c>
    </row>
    <row r="1064">
      <c r="A1064" s="182">
        <f>A935</f>
        <v>101</v>
      </c>
      <c r="B1064" s="198">
        <f>B203</f>
        <v>0.60695545900194237</v>
      </c>
      <c r="C1064" s="198">
        <f>C203</f>
        <v>-0.5613011256267133</v>
      </c>
      <c r="D1064" s="183">
        <f>INPUT!BA32</f>
        <v>1349.6250153914068</v>
      </c>
      <c r="E1064" s="195" t="str">
        <f>IF(2*D1064/COS(ATAN(G123))/L366&lt;=5.7*SQRT(INPUT!$B$2/D766),"C","S")</f>
        <v>S</v>
      </c>
      <c r="F1064" s="180">
        <f>INPUT!AN32</f>
        <v>700</v>
      </c>
      <c r="G1064" s="184">
        <f>G526</f>
        <v>2800</v>
      </c>
      <c r="H1064" s="131">
        <f>IF(OR(B1064=0,C1064=0),0,IF(B1064&lt;=0,C1064/B1064,B1064/C1064))</f>
        <v>-1.0813366146812093</v>
      </c>
      <c r="I1064" s="131">
        <f>IF(INPUT!AB32=0,9/(D1064/G1064)^2,IF(INPUT!AB32=0=1,IF(AND(B1064&lt;=0,C1064&lt;=0),7.2,IF(F1064/D1064&gt;=0.4,MAX(5.17/(F1064/G1064)^2,9/(D1064/G1064)^2),11.64/((D1064-F1064)/G1064)^2)),IF(H1064&gt;=-1,247.8*((F1064/D1064)^1.8)*(1-H1064)^2.7,247.8*(1-H1064)^0.32)))</f>
        <v>313.30753940804465</v>
      </c>
      <c r="J1064" s="131">
        <f>MIN(0.9*INPUT!$B$2*I1064/(G1064/COS(ATAN(G123))/L366)^2,N366*D766,INPUT!AQ32/0.7)</f>
        <v>0</v>
      </c>
      <c r="K1064" s="201" t="str">
        <f>IF(OR(E1064="C",B1064&gt;=0),"-",IF(ABS(B1064)&lt;=J1064,"OK","NG"))</f>
        <v>-</v>
      </c>
      <c r="L1064" s="200" t="str">
        <f>IF(OR(E1064="C",B1064&gt;=0),"-",J1064/ABS(B1064))</f>
        <v>-</v>
      </c>
      <c r="M1064" s="201" t="str">
        <f>IF(OR(E1064="C",C1064&gt;=0),"-",IF(ABS(C1064)&lt;=J1064,"OK","NG"))</f>
        <v>NG</v>
      </c>
      <c r="N1064" s="203">
        <f>IF(OR(E1064="C",C1064&gt;=0),"-",J1064/ABS(C1064))</f>
        <v>0</v>
      </c>
    </row>
    <row r="1065">
      <c r="A1065" s="182">
        <f>A936</f>
        <v>101</v>
      </c>
      <c r="B1065" s="198">
        <f>B204</f>
        <v>0.60695545900194237</v>
      </c>
      <c r="C1065" s="198">
        <f>C204</f>
        <v>-0.5613011256267133</v>
      </c>
      <c r="D1065" s="183">
        <f>INPUT!BA33</f>
        <v>1349.6250153914068</v>
      </c>
      <c r="E1065" s="195" t="str">
        <f>IF(2*D1065/COS(ATAN(G124))/L367&lt;=5.7*SQRT(INPUT!$B$2/D767),"C","S")</f>
        <v>S</v>
      </c>
      <c r="F1065" s="180">
        <f>INPUT!AN33</f>
        <v>700</v>
      </c>
      <c r="G1065" s="184">
        <f>G527</f>
        <v>2800</v>
      </c>
      <c r="H1065" s="131">
        <f>IF(OR(B1065=0,C1065=0),0,IF(B1065&lt;=0,C1065/B1065,B1065/C1065))</f>
        <v>-1.0813366146812093</v>
      </c>
      <c r="I1065" s="131">
        <f>IF(INPUT!AB33=0,9/(D1065/G1065)^2,IF(INPUT!AB33=0=1,IF(AND(B1065&lt;=0,C1065&lt;=0),7.2,IF(F1065/D1065&gt;=0.4,MAX(5.17/(F1065/G1065)^2,9/(D1065/G1065)^2),11.64/((D1065-F1065)/G1065)^2)),IF(H1065&gt;=-1,247.8*((F1065/D1065)^1.8)*(1-H1065)^2.7,247.8*(1-H1065)^0.32)))</f>
        <v>313.30753940804465</v>
      </c>
      <c r="J1065" s="131">
        <f>MIN(0.9*INPUT!$B$2*I1065/(G1065/COS(ATAN(G124))/L367)^2,N367*D767,INPUT!AQ33/0.7)</f>
        <v>0</v>
      </c>
      <c r="K1065" s="201" t="str">
        <f>IF(OR(E1065="C",B1065&gt;=0),"-",IF(ABS(B1065)&lt;=J1065,"OK","NG"))</f>
        <v>-</v>
      </c>
      <c r="L1065" s="200" t="str">
        <f>IF(OR(E1065="C",B1065&gt;=0),"-",J1065/ABS(B1065))</f>
        <v>-</v>
      </c>
      <c r="M1065" s="201" t="str">
        <f>IF(OR(E1065="C",C1065&gt;=0),"-",IF(ABS(C1065)&lt;=J1065,"OK","NG"))</f>
        <v>NG</v>
      </c>
      <c r="N1065" s="203">
        <f>IF(OR(E1065="C",C1065&gt;=0),"-",J1065/ABS(C1065))</f>
        <v>0</v>
      </c>
    </row>
    <row r="1066">
      <c r="A1066" s="182">
        <f>A937</f>
        <v>101</v>
      </c>
      <c r="B1066" s="198">
        <f>B205</f>
        <v>0.60695545900194237</v>
      </c>
      <c r="C1066" s="198">
        <f>C205</f>
        <v>-0.5613011256267133</v>
      </c>
      <c r="D1066" s="183">
        <f>INPUT!BA34</f>
        <v>1349.6250153914068</v>
      </c>
      <c r="E1066" s="195" t="str">
        <f>IF(2*D1066/COS(ATAN(G125))/L368&lt;=5.7*SQRT(INPUT!$B$2/D768),"C","S")</f>
        <v>S</v>
      </c>
      <c r="F1066" s="180">
        <f>INPUT!AN34</f>
        <v>700</v>
      </c>
      <c r="G1066" s="184">
        <f>G528</f>
        <v>2800</v>
      </c>
      <c r="H1066" s="131">
        <f>IF(OR(B1066=0,C1066=0),0,IF(B1066&lt;=0,C1066/B1066,B1066/C1066))</f>
        <v>-1.0813366146812093</v>
      </c>
      <c r="I1066" s="131">
        <f>IF(INPUT!AB34=0,9/(D1066/G1066)^2,IF(INPUT!AB34=0=1,IF(AND(B1066&lt;=0,C1066&lt;=0),7.2,IF(F1066/D1066&gt;=0.4,MAX(5.17/(F1066/G1066)^2,9/(D1066/G1066)^2),11.64/((D1066-F1066)/G1066)^2)),IF(H1066&gt;=-1,247.8*((F1066/D1066)^1.8)*(1-H1066)^2.7,247.8*(1-H1066)^0.32)))</f>
        <v>313.30753940804465</v>
      </c>
      <c r="J1066" s="131">
        <f>MIN(0.9*INPUT!$B$2*I1066/(G1066/COS(ATAN(G125))/L368)^2,N368*D768,INPUT!AQ34/0.7)</f>
        <v>0</v>
      </c>
      <c r="K1066" s="201" t="str">
        <f>IF(OR(E1066="C",B1066&gt;=0),"-",IF(ABS(B1066)&lt;=J1066,"OK","NG"))</f>
        <v>-</v>
      </c>
      <c r="L1066" s="200" t="str">
        <f>IF(OR(E1066="C",B1066&gt;=0),"-",J1066/ABS(B1066))</f>
        <v>-</v>
      </c>
      <c r="M1066" s="201" t="str">
        <f>IF(OR(E1066="C",C1066&gt;=0),"-",IF(ABS(C1066)&lt;=J1066,"OK","NG"))</f>
        <v>NG</v>
      </c>
      <c r="N1066" s="203">
        <f>IF(OR(E1066="C",C1066&gt;=0),"-",J1066/ABS(C1066))</f>
        <v>0</v>
      </c>
    </row>
    <row r="1067">
      <c r="A1067" s="182">
        <f>A938</f>
        <v>101</v>
      </c>
      <c r="B1067" s="198">
        <f>B206</f>
        <v>0.60695545900194237</v>
      </c>
      <c r="C1067" s="198">
        <f>C206</f>
        <v>-0.5613011256267133</v>
      </c>
      <c r="D1067" s="183">
        <f>INPUT!BA35</f>
        <v>1349.6250153914068</v>
      </c>
      <c r="E1067" s="195" t="str">
        <f>IF(2*D1067/COS(ATAN(G126))/L369&lt;=5.7*SQRT(INPUT!$B$2/D769),"C","S")</f>
        <v>S</v>
      </c>
      <c r="F1067" s="180">
        <f>INPUT!AN35</f>
        <v>700</v>
      </c>
      <c r="G1067" s="184">
        <f>G529</f>
        <v>2800</v>
      </c>
      <c r="H1067" s="131">
        <f>IF(OR(B1067=0,C1067=0),0,IF(B1067&lt;=0,C1067/B1067,B1067/C1067))</f>
        <v>-1.0813366146812093</v>
      </c>
      <c r="I1067" s="131">
        <f>IF(INPUT!AB35=0,9/(D1067/G1067)^2,IF(INPUT!AB35=0=1,IF(AND(B1067&lt;=0,C1067&lt;=0),7.2,IF(F1067/D1067&gt;=0.4,MAX(5.17/(F1067/G1067)^2,9/(D1067/G1067)^2),11.64/((D1067-F1067)/G1067)^2)),IF(H1067&gt;=-1,247.8*((F1067/D1067)^1.8)*(1-H1067)^2.7,247.8*(1-H1067)^0.32)))</f>
        <v>313.30753940804465</v>
      </c>
      <c r="J1067" s="131">
        <f>MIN(0.9*INPUT!$B$2*I1067/(G1067/COS(ATAN(G126))/L369)^2,N369*D769,INPUT!AQ35/0.7)</f>
        <v>0</v>
      </c>
      <c r="K1067" s="201" t="str">
        <f>IF(OR(E1067="C",B1067&gt;=0),"-",IF(ABS(B1067)&lt;=J1067,"OK","NG"))</f>
        <v>-</v>
      </c>
      <c r="L1067" s="200" t="str">
        <f>IF(OR(E1067="C",B1067&gt;=0),"-",J1067/ABS(B1067))</f>
        <v>-</v>
      </c>
      <c r="M1067" s="201" t="str">
        <f>IF(OR(E1067="C",C1067&gt;=0),"-",IF(ABS(C1067)&lt;=J1067,"OK","NG"))</f>
        <v>NG</v>
      </c>
      <c r="N1067" s="203">
        <f>IF(OR(E1067="C",C1067&gt;=0),"-",J1067/ABS(C1067))</f>
        <v>0</v>
      </c>
    </row>
    <row r="1068">
      <c r="A1068" s="182">
        <f>A939</f>
        <v>101</v>
      </c>
      <c r="B1068" s="198">
        <f>B207</f>
        <v>0.60695545900194237</v>
      </c>
      <c r="C1068" s="198">
        <f>C207</f>
        <v>-0.5613011256267133</v>
      </c>
      <c r="D1068" s="183">
        <f>INPUT!BA36</f>
        <v>1349.6250153914068</v>
      </c>
      <c r="E1068" s="195" t="str">
        <f>IF(2*D1068/COS(ATAN(G127))/L370&lt;=5.7*SQRT(INPUT!$B$2/D770),"C","S")</f>
        <v>S</v>
      </c>
      <c r="F1068" s="180">
        <f>INPUT!AN36</f>
        <v>700</v>
      </c>
      <c r="G1068" s="184">
        <f>G530</f>
        <v>2800</v>
      </c>
      <c r="H1068" s="131">
        <f>IF(OR(B1068=0,C1068=0),0,IF(B1068&lt;=0,C1068/B1068,B1068/C1068))</f>
        <v>-1.0813366146812093</v>
      </c>
      <c r="I1068" s="131">
        <f>IF(INPUT!AB36=0,9/(D1068/G1068)^2,IF(INPUT!AB36=0=1,IF(AND(B1068&lt;=0,C1068&lt;=0),7.2,IF(F1068/D1068&gt;=0.4,MAX(5.17/(F1068/G1068)^2,9/(D1068/G1068)^2),11.64/((D1068-F1068)/G1068)^2)),IF(H1068&gt;=-1,247.8*((F1068/D1068)^1.8)*(1-H1068)^2.7,247.8*(1-H1068)^0.32)))</f>
        <v>313.30753940804465</v>
      </c>
      <c r="J1068" s="131">
        <f>MIN(0.9*INPUT!$B$2*I1068/(G1068/COS(ATAN(G127))/L370)^2,N370*D770,INPUT!AQ36/0.7)</f>
        <v>0</v>
      </c>
      <c r="K1068" s="201" t="str">
        <f>IF(OR(E1068="C",B1068&gt;=0),"-",IF(ABS(B1068)&lt;=J1068,"OK","NG"))</f>
        <v>-</v>
      </c>
      <c r="L1068" s="200" t="str">
        <f>IF(OR(E1068="C",B1068&gt;=0),"-",J1068/ABS(B1068))</f>
        <v>-</v>
      </c>
      <c r="M1068" s="201" t="str">
        <f>IF(OR(E1068="C",C1068&gt;=0),"-",IF(ABS(C1068)&lt;=J1068,"OK","NG"))</f>
        <v>NG</v>
      </c>
      <c r="N1068" s="203">
        <f>IF(OR(E1068="C",C1068&gt;=0),"-",J1068/ABS(C1068))</f>
        <v>0</v>
      </c>
    </row>
    <row r="1069">
      <c r="A1069" s="182">
        <f>A940</f>
        <v>101</v>
      </c>
      <c r="B1069" s="198">
        <f>B208</f>
        <v>0.60695545900194237</v>
      </c>
      <c r="C1069" s="198">
        <f>C208</f>
        <v>-0.5613011256267133</v>
      </c>
      <c r="D1069" s="183">
        <f>INPUT!BA37</f>
        <v>1349.6250153914068</v>
      </c>
      <c r="E1069" s="195" t="str">
        <f>IF(2*D1069/COS(ATAN(G128))/L371&lt;=5.7*SQRT(INPUT!$B$2/D771),"C","S")</f>
        <v>S</v>
      </c>
      <c r="F1069" s="180">
        <f>INPUT!AN37</f>
        <v>700</v>
      </c>
      <c r="G1069" s="184">
        <f>G531</f>
        <v>2800</v>
      </c>
      <c r="H1069" s="131">
        <f>IF(OR(B1069=0,C1069=0),0,IF(B1069&lt;=0,C1069/B1069,B1069/C1069))</f>
        <v>-1.0813366146812093</v>
      </c>
      <c r="I1069" s="131">
        <f>IF(INPUT!AB37=0,9/(D1069/G1069)^2,IF(INPUT!AB37=0=1,IF(AND(B1069&lt;=0,C1069&lt;=0),7.2,IF(F1069/D1069&gt;=0.4,MAX(5.17/(F1069/G1069)^2,9/(D1069/G1069)^2),11.64/((D1069-F1069)/G1069)^2)),IF(H1069&gt;=-1,247.8*((F1069/D1069)^1.8)*(1-H1069)^2.7,247.8*(1-H1069)^0.32)))</f>
        <v>313.30753940804465</v>
      </c>
      <c r="J1069" s="131">
        <f>MIN(0.9*INPUT!$B$2*I1069/(G1069/COS(ATAN(G128))/L371)^2,N371*D771,INPUT!AQ37/0.7)</f>
        <v>0</v>
      </c>
      <c r="K1069" s="201" t="str">
        <f>IF(OR(E1069="C",B1069&gt;=0),"-",IF(ABS(B1069)&lt;=J1069,"OK","NG"))</f>
        <v>-</v>
      </c>
      <c r="L1069" s="200" t="str">
        <f>IF(OR(E1069="C",B1069&gt;=0),"-",J1069/ABS(B1069))</f>
        <v>-</v>
      </c>
      <c r="M1069" s="201" t="str">
        <f>IF(OR(E1069="C",C1069&gt;=0),"-",IF(ABS(C1069)&lt;=J1069,"OK","NG"))</f>
        <v>NG</v>
      </c>
      <c r="N1069" s="203">
        <f>IF(OR(E1069="C",C1069&gt;=0),"-",J1069/ABS(C1069))</f>
        <v>0</v>
      </c>
    </row>
    <row r="1070">
      <c r="A1070" s="182">
        <f>A941</f>
        <v>101</v>
      </c>
      <c r="B1070" s="198">
        <f>B209</f>
        <v>0.60695545900194237</v>
      </c>
      <c r="C1070" s="198">
        <f>C209</f>
        <v>-0.5613011256267133</v>
      </c>
      <c r="D1070" s="183">
        <f>INPUT!BA38</f>
        <v>1349.6250153914068</v>
      </c>
      <c r="E1070" s="195" t="str">
        <f>IF(2*D1070/COS(ATAN(G129))/L372&lt;=5.7*SQRT(INPUT!$B$2/D772),"C","S")</f>
        <v>S</v>
      </c>
      <c r="F1070" s="180">
        <f>INPUT!AN38</f>
        <v>700</v>
      </c>
      <c r="G1070" s="184">
        <f>G532</f>
        <v>2800</v>
      </c>
      <c r="H1070" s="131">
        <f>IF(OR(B1070=0,C1070=0),0,IF(B1070&lt;=0,C1070/B1070,B1070/C1070))</f>
        <v>-1.0813366146812093</v>
      </c>
      <c r="I1070" s="131">
        <f>IF(INPUT!AB38=0,9/(D1070/G1070)^2,IF(INPUT!AB38=0=1,IF(AND(B1070&lt;=0,C1070&lt;=0),7.2,IF(F1070/D1070&gt;=0.4,MAX(5.17/(F1070/G1070)^2,9/(D1070/G1070)^2),11.64/((D1070-F1070)/G1070)^2)),IF(H1070&gt;=-1,247.8*((F1070/D1070)^1.8)*(1-H1070)^2.7,247.8*(1-H1070)^0.32)))</f>
        <v>313.30753940804465</v>
      </c>
      <c r="J1070" s="131">
        <f>MIN(0.9*INPUT!$B$2*I1070/(G1070/COS(ATAN(G129))/L372)^2,N372*D772,INPUT!AQ38/0.7)</f>
        <v>0</v>
      </c>
      <c r="K1070" s="201" t="str">
        <f>IF(OR(E1070="C",B1070&gt;=0),"-",IF(ABS(B1070)&lt;=J1070,"OK","NG"))</f>
        <v>-</v>
      </c>
      <c r="L1070" s="200" t="str">
        <f>IF(OR(E1070="C",B1070&gt;=0),"-",J1070/ABS(B1070))</f>
        <v>-</v>
      </c>
      <c r="M1070" s="201" t="str">
        <f>IF(OR(E1070="C",C1070&gt;=0),"-",IF(ABS(C1070)&lt;=J1070,"OK","NG"))</f>
        <v>NG</v>
      </c>
      <c r="N1070" s="203">
        <f>IF(OR(E1070="C",C1070&gt;=0),"-",J1070/ABS(C1070))</f>
        <v>0</v>
      </c>
    </row>
    <row r="1071">
      <c r="A1071" s="182">
        <f>A942</f>
        <v>101</v>
      </c>
      <c r="B1071" s="198">
        <f>B210</f>
        <v>0.60695545900194237</v>
      </c>
      <c r="C1071" s="198">
        <f>C210</f>
        <v>-0.5613011256267133</v>
      </c>
      <c r="D1071" s="183">
        <f>INPUT!BA39</f>
        <v>1349.6250153914068</v>
      </c>
      <c r="E1071" s="195" t="str">
        <f>IF(2*D1071/COS(ATAN(G130))/L373&lt;=5.7*SQRT(INPUT!$B$2/D773),"C","S")</f>
        <v>S</v>
      </c>
      <c r="F1071" s="180">
        <f>INPUT!AN39</f>
        <v>700</v>
      </c>
      <c r="G1071" s="184">
        <f>G533</f>
        <v>2800</v>
      </c>
      <c r="H1071" s="131">
        <f>IF(OR(B1071=0,C1071=0),0,IF(B1071&lt;=0,C1071/B1071,B1071/C1071))</f>
        <v>-1.0813366146812093</v>
      </c>
      <c r="I1071" s="131">
        <f>IF(INPUT!AB39=0,9/(D1071/G1071)^2,IF(INPUT!AB39=0=1,IF(AND(B1071&lt;=0,C1071&lt;=0),7.2,IF(F1071/D1071&gt;=0.4,MAX(5.17/(F1071/G1071)^2,9/(D1071/G1071)^2),11.64/((D1071-F1071)/G1071)^2)),IF(H1071&gt;=-1,247.8*((F1071/D1071)^1.8)*(1-H1071)^2.7,247.8*(1-H1071)^0.32)))</f>
        <v>313.30753940804465</v>
      </c>
      <c r="J1071" s="131">
        <f>MIN(0.9*INPUT!$B$2*I1071/(G1071/COS(ATAN(G130))/L373)^2,N373*D773,INPUT!AQ39/0.7)</f>
        <v>0</v>
      </c>
      <c r="K1071" s="201" t="str">
        <f>IF(OR(E1071="C",B1071&gt;=0),"-",IF(ABS(B1071)&lt;=J1071,"OK","NG"))</f>
        <v>-</v>
      </c>
      <c r="L1071" s="200" t="str">
        <f>IF(OR(E1071="C",B1071&gt;=0),"-",J1071/ABS(B1071))</f>
        <v>-</v>
      </c>
      <c r="M1071" s="201" t="str">
        <f>IF(OR(E1071="C",C1071&gt;=0),"-",IF(ABS(C1071)&lt;=J1071,"OK","NG"))</f>
        <v>NG</v>
      </c>
      <c r="N1071" s="203">
        <f>IF(OR(E1071="C",C1071&gt;=0),"-",J1071/ABS(C1071))</f>
        <v>0</v>
      </c>
    </row>
    <row r="1072">
      <c r="A1072" s="182">
        <f>A943</f>
        <v>101</v>
      </c>
      <c r="B1072" s="198">
        <f>B211</f>
        <v>0.60695545900194237</v>
      </c>
      <c r="C1072" s="198">
        <f>C211</f>
        <v>-0.5613011256267133</v>
      </c>
      <c r="D1072" s="183">
        <f>INPUT!BA40</f>
        <v>1349.6250153914068</v>
      </c>
      <c r="E1072" s="195" t="str">
        <f>IF(2*D1072/COS(ATAN(G131))/L374&lt;=5.7*SQRT(INPUT!$B$2/D774),"C","S")</f>
        <v>S</v>
      </c>
      <c r="F1072" s="180">
        <f>INPUT!AN40</f>
        <v>700</v>
      </c>
      <c r="G1072" s="184">
        <f>G534</f>
        <v>2800</v>
      </c>
      <c r="H1072" s="131">
        <f>IF(OR(B1072=0,C1072=0),0,IF(B1072&lt;=0,C1072/B1072,B1072/C1072))</f>
        <v>-1.0813366146812093</v>
      </c>
      <c r="I1072" s="131">
        <f>IF(INPUT!AB40=0,9/(D1072/G1072)^2,IF(INPUT!AB40=0=1,IF(AND(B1072&lt;=0,C1072&lt;=0),7.2,IF(F1072/D1072&gt;=0.4,MAX(5.17/(F1072/G1072)^2,9/(D1072/G1072)^2),11.64/((D1072-F1072)/G1072)^2)),IF(H1072&gt;=-1,247.8*((F1072/D1072)^1.8)*(1-H1072)^2.7,247.8*(1-H1072)^0.32)))</f>
        <v>313.30753940804465</v>
      </c>
      <c r="J1072" s="131">
        <f>MIN(0.9*INPUT!$B$2*I1072/(G1072/COS(ATAN(G131))/L374)^2,N374*D774,INPUT!AQ40/0.7)</f>
        <v>0</v>
      </c>
      <c r="K1072" s="201" t="str">
        <f>IF(OR(E1072="C",B1072&gt;=0),"-",IF(ABS(B1072)&lt;=J1072,"OK","NG"))</f>
        <v>-</v>
      </c>
      <c r="L1072" s="200" t="str">
        <f>IF(OR(E1072="C",B1072&gt;=0),"-",J1072/ABS(B1072))</f>
        <v>-</v>
      </c>
      <c r="M1072" s="201" t="str">
        <f>IF(OR(E1072="C",C1072&gt;=0),"-",IF(ABS(C1072)&lt;=J1072,"OK","NG"))</f>
        <v>NG</v>
      </c>
      <c r="N1072" s="203">
        <f>IF(OR(E1072="C",C1072&gt;=0),"-",J1072/ABS(C1072))</f>
        <v>0</v>
      </c>
    </row>
    <row r="1073">
      <c r="A1073" s="182">
        <f>A944</f>
        <v>101</v>
      </c>
      <c r="B1073" s="198">
        <f>B212</f>
        <v>0.60695545900194237</v>
      </c>
      <c r="C1073" s="198">
        <f>C212</f>
        <v>-0.5613011256267133</v>
      </c>
      <c r="D1073" s="183">
        <f>INPUT!BA41</f>
        <v>1349.6250153914068</v>
      </c>
      <c r="E1073" s="195" t="str">
        <f>IF(2*D1073/COS(ATAN(G132))/L375&lt;=5.7*SQRT(INPUT!$B$2/D775),"C","S")</f>
        <v>S</v>
      </c>
      <c r="F1073" s="180">
        <f>INPUT!AN41</f>
        <v>700</v>
      </c>
      <c r="G1073" s="184">
        <f>G535</f>
        <v>2800</v>
      </c>
      <c r="H1073" s="131">
        <f>IF(OR(B1073=0,C1073=0),0,IF(B1073&lt;=0,C1073/B1073,B1073/C1073))</f>
        <v>-1.0813366146812093</v>
      </c>
      <c r="I1073" s="131">
        <f>IF(INPUT!AB41=0,9/(D1073/G1073)^2,IF(INPUT!AB41=0=1,IF(AND(B1073&lt;=0,C1073&lt;=0),7.2,IF(F1073/D1073&gt;=0.4,MAX(5.17/(F1073/G1073)^2,9/(D1073/G1073)^2),11.64/((D1073-F1073)/G1073)^2)),IF(H1073&gt;=-1,247.8*((F1073/D1073)^1.8)*(1-H1073)^2.7,247.8*(1-H1073)^0.32)))</f>
        <v>313.30753940804465</v>
      </c>
      <c r="J1073" s="131">
        <f>MIN(0.9*INPUT!$B$2*I1073/(G1073/COS(ATAN(G132))/L375)^2,N375*D775,INPUT!AQ41/0.7)</f>
        <v>0</v>
      </c>
      <c r="K1073" s="201" t="str">
        <f>IF(OR(E1073="C",B1073&gt;=0),"-",IF(ABS(B1073)&lt;=J1073,"OK","NG"))</f>
        <v>-</v>
      </c>
      <c r="L1073" s="200" t="str">
        <f>IF(OR(E1073="C",B1073&gt;=0),"-",J1073/ABS(B1073))</f>
        <v>-</v>
      </c>
      <c r="M1073" s="201" t="str">
        <f>IF(OR(E1073="C",C1073&gt;=0),"-",IF(ABS(C1073)&lt;=J1073,"OK","NG"))</f>
        <v>NG</v>
      </c>
      <c r="N1073" s="203">
        <f>IF(OR(E1073="C",C1073&gt;=0),"-",J1073/ABS(C1073))</f>
        <v>0</v>
      </c>
    </row>
    <row r="1074">
      <c r="A1074" s="182">
        <f>A945</f>
        <v>101</v>
      </c>
      <c r="B1074" s="198">
        <f>B213</f>
        <v>0.60695545900194237</v>
      </c>
      <c r="C1074" s="198">
        <f>C213</f>
        <v>-0.5613011256267133</v>
      </c>
      <c r="D1074" s="183">
        <f>INPUT!BA42</f>
        <v>1349.6250153914068</v>
      </c>
      <c r="E1074" s="195" t="str">
        <f>IF(2*D1074/COS(ATAN(G133))/L376&lt;=5.7*SQRT(INPUT!$B$2/D776),"C","S")</f>
        <v>S</v>
      </c>
      <c r="F1074" s="180">
        <f>INPUT!AN42</f>
        <v>700</v>
      </c>
      <c r="G1074" s="184">
        <f>G536</f>
        <v>2800</v>
      </c>
      <c r="H1074" s="131">
        <f>IF(OR(B1074=0,C1074=0),0,IF(B1074&lt;=0,C1074/B1074,B1074/C1074))</f>
        <v>-1.0813366146812093</v>
      </c>
      <c r="I1074" s="131">
        <f>IF(INPUT!AB42=0,9/(D1074/G1074)^2,IF(INPUT!AB42=0=1,IF(AND(B1074&lt;=0,C1074&lt;=0),7.2,IF(F1074/D1074&gt;=0.4,MAX(5.17/(F1074/G1074)^2,9/(D1074/G1074)^2),11.64/((D1074-F1074)/G1074)^2)),IF(H1074&gt;=-1,247.8*((F1074/D1074)^1.8)*(1-H1074)^2.7,247.8*(1-H1074)^0.32)))</f>
        <v>313.30753940804465</v>
      </c>
      <c r="J1074" s="131">
        <f>MIN(0.9*INPUT!$B$2*I1074/(G1074/COS(ATAN(G133))/L376)^2,N376*D776,INPUT!AQ42/0.7)</f>
        <v>0</v>
      </c>
      <c r="K1074" s="201" t="str">
        <f>IF(OR(E1074="C",B1074&gt;=0),"-",IF(ABS(B1074)&lt;=J1074,"OK","NG"))</f>
        <v>-</v>
      </c>
      <c r="L1074" s="200" t="str">
        <f>IF(OR(E1074="C",B1074&gt;=0),"-",J1074/ABS(B1074))</f>
        <v>-</v>
      </c>
      <c r="M1074" s="201" t="str">
        <f>IF(OR(E1074="C",C1074&gt;=0),"-",IF(ABS(C1074)&lt;=J1074,"OK","NG"))</f>
        <v>NG</v>
      </c>
      <c r="N1074" s="203">
        <f>IF(OR(E1074="C",C1074&gt;=0),"-",J1074/ABS(C1074))</f>
        <v>0</v>
      </c>
    </row>
    <row r="1075">
      <c r="A1075" s="182">
        <f>A946</f>
        <v>101</v>
      </c>
      <c r="B1075" s="198">
        <f>B214</f>
        <v>0.60695545900194237</v>
      </c>
      <c r="C1075" s="198">
        <f>C214</f>
        <v>-0.5613011256267133</v>
      </c>
      <c r="D1075" s="183">
        <f>INPUT!BA43</f>
        <v>1349.6250153914068</v>
      </c>
      <c r="E1075" s="195" t="str">
        <f>IF(2*D1075/COS(ATAN(G134))/L377&lt;=5.7*SQRT(INPUT!$B$2/D777),"C","S")</f>
        <v>S</v>
      </c>
      <c r="F1075" s="180">
        <f>INPUT!AN43</f>
        <v>700</v>
      </c>
      <c r="G1075" s="184">
        <f>G537</f>
        <v>2800</v>
      </c>
      <c r="H1075" s="131">
        <f>IF(OR(B1075=0,C1075=0),0,IF(B1075&lt;=0,C1075/B1075,B1075/C1075))</f>
        <v>-1.0813366146812093</v>
      </c>
      <c r="I1075" s="131">
        <f>IF(INPUT!AB43=0,9/(D1075/G1075)^2,IF(INPUT!AB43=0=1,IF(AND(B1075&lt;=0,C1075&lt;=0),7.2,IF(F1075/D1075&gt;=0.4,MAX(5.17/(F1075/G1075)^2,9/(D1075/G1075)^2),11.64/((D1075-F1075)/G1075)^2)),IF(H1075&gt;=-1,247.8*((F1075/D1075)^1.8)*(1-H1075)^2.7,247.8*(1-H1075)^0.32)))</f>
        <v>313.30753940804465</v>
      </c>
      <c r="J1075" s="131">
        <f>MIN(0.9*INPUT!$B$2*I1075/(G1075/COS(ATAN(G134))/L377)^2,N377*D777,INPUT!AQ43/0.7)</f>
        <v>0</v>
      </c>
      <c r="K1075" s="201" t="str">
        <f>IF(OR(E1075="C",B1075&gt;=0),"-",IF(ABS(B1075)&lt;=J1075,"OK","NG"))</f>
        <v>-</v>
      </c>
      <c r="L1075" s="200" t="str">
        <f>IF(OR(E1075="C",B1075&gt;=0),"-",J1075/ABS(B1075))</f>
        <v>-</v>
      </c>
      <c r="M1075" s="201" t="str">
        <f>IF(OR(E1075="C",C1075&gt;=0),"-",IF(ABS(C1075)&lt;=J1075,"OK","NG"))</f>
        <v>NG</v>
      </c>
      <c r="N1075" s="203">
        <f>IF(OR(E1075="C",C1075&gt;=0),"-",J1075/ABS(C1075))</f>
        <v>0</v>
      </c>
    </row>
    <row r="1076">
      <c r="A1076" s="182">
        <f>A947</f>
        <v>101</v>
      </c>
      <c r="B1076" s="198">
        <f>B215</f>
        <v>0.60695545900194237</v>
      </c>
      <c r="C1076" s="198">
        <f>C215</f>
        <v>-0.5613011256267133</v>
      </c>
      <c r="D1076" s="183">
        <f>INPUT!BA44</f>
        <v>1349.6250153914068</v>
      </c>
      <c r="E1076" s="195" t="str">
        <f>IF(2*D1076/COS(ATAN(G135))/L378&lt;=5.7*SQRT(INPUT!$B$2/D778),"C","S")</f>
        <v>S</v>
      </c>
      <c r="F1076" s="180">
        <f>INPUT!AN44</f>
        <v>700</v>
      </c>
      <c r="G1076" s="184">
        <f>G538</f>
        <v>2800</v>
      </c>
      <c r="H1076" s="131">
        <f>IF(OR(B1076=0,C1076=0),0,IF(B1076&lt;=0,C1076/B1076,B1076/C1076))</f>
        <v>-1.0813366146812093</v>
      </c>
      <c r="I1076" s="131">
        <f>IF(INPUT!AB44=0,9/(D1076/G1076)^2,IF(INPUT!AB44=0=1,IF(AND(B1076&lt;=0,C1076&lt;=0),7.2,IF(F1076/D1076&gt;=0.4,MAX(5.17/(F1076/G1076)^2,9/(D1076/G1076)^2),11.64/((D1076-F1076)/G1076)^2)),IF(H1076&gt;=-1,247.8*((F1076/D1076)^1.8)*(1-H1076)^2.7,247.8*(1-H1076)^0.32)))</f>
        <v>313.30753940804465</v>
      </c>
      <c r="J1076" s="131">
        <f>MIN(0.9*INPUT!$B$2*I1076/(G1076/COS(ATAN(G135))/L378)^2,N378*D778,INPUT!AQ44/0.7)</f>
        <v>0</v>
      </c>
      <c r="K1076" s="201" t="str">
        <f>IF(OR(E1076="C",B1076&gt;=0),"-",IF(ABS(B1076)&lt;=J1076,"OK","NG"))</f>
        <v>-</v>
      </c>
      <c r="L1076" s="200" t="str">
        <f>IF(OR(E1076="C",B1076&gt;=0),"-",J1076/ABS(B1076))</f>
        <v>-</v>
      </c>
      <c r="M1076" s="201" t="str">
        <f>IF(OR(E1076="C",C1076&gt;=0),"-",IF(ABS(C1076)&lt;=J1076,"OK","NG"))</f>
        <v>NG</v>
      </c>
      <c r="N1076" s="203">
        <f>IF(OR(E1076="C",C1076&gt;=0),"-",J1076/ABS(C1076))</f>
        <v>0</v>
      </c>
    </row>
    <row r="1077">
      <c r="A1077" s="182">
        <f>A948</f>
        <v>101</v>
      </c>
      <c r="B1077" s="198">
        <f>B216</f>
        <v>0.60695545900194237</v>
      </c>
      <c r="C1077" s="198">
        <f>C216</f>
        <v>-0.5613011256267133</v>
      </c>
      <c r="D1077" s="183">
        <f>INPUT!BA45</f>
        <v>1349.6250153914068</v>
      </c>
      <c r="E1077" s="195" t="str">
        <f>IF(2*D1077/COS(ATAN(G136))/L379&lt;=5.7*SQRT(INPUT!$B$2/D779),"C","S")</f>
        <v>S</v>
      </c>
      <c r="F1077" s="180">
        <f>INPUT!AN45</f>
        <v>700</v>
      </c>
      <c r="G1077" s="184">
        <f>G539</f>
        <v>2800</v>
      </c>
      <c r="H1077" s="131">
        <f>IF(OR(B1077=0,C1077=0),0,IF(B1077&lt;=0,C1077/B1077,B1077/C1077))</f>
        <v>-1.0813366146812093</v>
      </c>
      <c r="I1077" s="131">
        <f>IF(INPUT!AB45=0,9/(D1077/G1077)^2,IF(INPUT!AB45=0=1,IF(AND(B1077&lt;=0,C1077&lt;=0),7.2,IF(F1077/D1077&gt;=0.4,MAX(5.17/(F1077/G1077)^2,9/(D1077/G1077)^2),11.64/((D1077-F1077)/G1077)^2)),IF(H1077&gt;=-1,247.8*((F1077/D1077)^1.8)*(1-H1077)^2.7,247.8*(1-H1077)^0.32)))</f>
        <v>313.30753940804465</v>
      </c>
      <c r="J1077" s="131">
        <f>MIN(0.9*INPUT!$B$2*I1077/(G1077/COS(ATAN(G136))/L379)^2,N379*D779,INPUT!AQ45/0.7)</f>
        <v>0</v>
      </c>
      <c r="K1077" s="201" t="str">
        <f>IF(OR(E1077="C",B1077&gt;=0),"-",IF(ABS(B1077)&lt;=J1077,"OK","NG"))</f>
        <v>-</v>
      </c>
      <c r="L1077" s="200" t="str">
        <f>IF(OR(E1077="C",B1077&gt;=0),"-",J1077/ABS(B1077))</f>
        <v>-</v>
      </c>
      <c r="M1077" s="201" t="str">
        <f>IF(OR(E1077="C",C1077&gt;=0),"-",IF(ABS(C1077)&lt;=J1077,"OK","NG"))</f>
        <v>NG</v>
      </c>
      <c r="N1077" s="203">
        <f>IF(OR(E1077="C",C1077&gt;=0),"-",J1077/ABS(C1077))</f>
        <v>0</v>
      </c>
    </row>
    <row r="1078">
      <c r="A1078" s="182">
        <f>A949</f>
        <v>101</v>
      </c>
      <c r="B1078" s="198">
        <f>B217</f>
        <v>0.60695545900194237</v>
      </c>
      <c r="C1078" s="198">
        <f>C217</f>
        <v>-0.5613011256267133</v>
      </c>
      <c r="D1078" s="183">
        <f>INPUT!BA46</f>
        <v>1349.6250153914068</v>
      </c>
      <c r="E1078" s="195" t="str">
        <f>IF(2*D1078/COS(ATAN(G137))/L380&lt;=5.7*SQRT(INPUT!$B$2/D780),"C","S")</f>
        <v>S</v>
      </c>
      <c r="F1078" s="180">
        <f>INPUT!AN46</f>
        <v>700</v>
      </c>
      <c r="G1078" s="184">
        <f>G540</f>
        <v>2800</v>
      </c>
      <c r="H1078" s="131">
        <f>IF(OR(B1078=0,C1078=0),0,IF(B1078&lt;=0,C1078/B1078,B1078/C1078))</f>
        <v>-1.0813366146812093</v>
      </c>
      <c r="I1078" s="131">
        <f>IF(INPUT!AB46=0,9/(D1078/G1078)^2,IF(INPUT!AB46=0=1,IF(AND(B1078&lt;=0,C1078&lt;=0),7.2,IF(F1078/D1078&gt;=0.4,MAX(5.17/(F1078/G1078)^2,9/(D1078/G1078)^2),11.64/((D1078-F1078)/G1078)^2)),IF(H1078&gt;=-1,247.8*((F1078/D1078)^1.8)*(1-H1078)^2.7,247.8*(1-H1078)^0.32)))</f>
        <v>313.30753940804465</v>
      </c>
      <c r="J1078" s="131">
        <f>MIN(0.9*INPUT!$B$2*I1078/(G1078/COS(ATAN(G137))/L380)^2,N380*D780,INPUT!AQ46/0.7)</f>
        <v>0</v>
      </c>
      <c r="K1078" s="201" t="str">
        <f>IF(OR(E1078="C",B1078&gt;=0),"-",IF(ABS(B1078)&lt;=J1078,"OK","NG"))</f>
        <v>-</v>
      </c>
      <c r="L1078" s="200" t="str">
        <f>IF(OR(E1078="C",B1078&gt;=0),"-",J1078/ABS(B1078))</f>
        <v>-</v>
      </c>
      <c r="M1078" s="201" t="str">
        <f>IF(OR(E1078="C",C1078&gt;=0),"-",IF(ABS(C1078)&lt;=J1078,"OK","NG"))</f>
        <v>NG</v>
      </c>
      <c r="N1078" s="203">
        <f>IF(OR(E1078="C",C1078&gt;=0),"-",J1078/ABS(C1078))</f>
        <v>0</v>
      </c>
    </row>
    <row r="1079">
      <c r="A1079" s="182">
        <f>A950</f>
        <v>101</v>
      </c>
      <c r="B1079" s="198">
        <f>B218</f>
        <v>0.60695545900194237</v>
      </c>
      <c r="C1079" s="198">
        <f>C218</f>
        <v>-0.5613011256267133</v>
      </c>
      <c r="D1079" s="183">
        <f>INPUT!BA47</f>
        <v>1349.6250153914068</v>
      </c>
      <c r="E1079" s="195" t="str">
        <f>IF(2*D1079/COS(ATAN(G138))/L381&lt;=5.7*SQRT(INPUT!$B$2/D781),"C","S")</f>
        <v>S</v>
      </c>
      <c r="F1079" s="180">
        <f>INPUT!AN47</f>
        <v>700</v>
      </c>
      <c r="G1079" s="184">
        <f>G541</f>
        <v>2800</v>
      </c>
      <c r="H1079" s="131">
        <f>IF(OR(B1079=0,C1079=0),0,IF(B1079&lt;=0,C1079/B1079,B1079/C1079))</f>
        <v>-1.0813366146812093</v>
      </c>
      <c r="I1079" s="131">
        <f>IF(INPUT!AB47=0,9/(D1079/G1079)^2,IF(INPUT!AB47=0=1,IF(AND(B1079&lt;=0,C1079&lt;=0),7.2,IF(F1079/D1079&gt;=0.4,MAX(5.17/(F1079/G1079)^2,9/(D1079/G1079)^2),11.64/((D1079-F1079)/G1079)^2)),IF(H1079&gt;=-1,247.8*((F1079/D1079)^1.8)*(1-H1079)^2.7,247.8*(1-H1079)^0.32)))</f>
        <v>313.30753940804465</v>
      </c>
      <c r="J1079" s="131">
        <f>MIN(0.9*INPUT!$B$2*I1079/(G1079/COS(ATAN(G138))/L381)^2,N381*D781,INPUT!AQ47/0.7)</f>
        <v>0</v>
      </c>
      <c r="K1079" s="201" t="str">
        <f>IF(OR(E1079="C",B1079&gt;=0),"-",IF(ABS(B1079)&lt;=J1079,"OK","NG"))</f>
        <v>-</v>
      </c>
      <c r="L1079" s="200" t="str">
        <f>IF(OR(E1079="C",B1079&gt;=0),"-",J1079/ABS(B1079))</f>
        <v>-</v>
      </c>
      <c r="M1079" s="201" t="str">
        <f>IF(OR(E1079="C",C1079&gt;=0),"-",IF(ABS(C1079)&lt;=J1079,"OK","NG"))</f>
        <v>NG</v>
      </c>
      <c r="N1079" s="203">
        <f>IF(OR(E1079="C",C1079&gt;=0),"-",J1079/ABS(C1079))</f>
        <v>0</v>
      </c>
    </row>
    <row r="1080">
      <c r="A1080" s="182">
        <f>A951</f>
        <v>101</v>
      </c>
      <c r="B1080" s="198">
        <f>B219</f>
        <v>0.60695545900194237</v>
      </c>
      <c r="C1080" s="198">
        <f>C219</f>
        <v>-0.5613011256267133</v>
      </c>
      <c r="D1080" s="183">
        <f>INPUT!BA48</f>
        <v>1349.6250153914068</v>
      </c>
      <c r="E1080" s="195" t="str">
        <f>IF(2*D1080/COS(ATAN(G139))/L382&lt;=5.7*SQRT(INPUT!$B$2/D782),"C","S")</f>
        <v>S</v>
      </c>
      <c r="F1080" s="180">
        <f>INPUT!AN48</f>
        <v>700</v>
      </c>
      <c r="G1080" s="184">
        <f>G542</f>
        <v>2800</v>
      </c>
      <c r="H1080" s="131">
        <f>IF(OR(B1080=0,C1080=0),0,IF(B1080&lt;=0,C1080/B1080,B1080/C1080))</f>
        <v>-1.0813366146812093</v>
      </c>
      <c r="I1080" s="131">
        <f>IF(INPUT!AB48=0,9/(D1080/G1080)^2,IF(INPUT!AB48=0=1,IF(AND(B1080&lt;=0,C1080&lt;=0),7.2,IF(F1080/D1080&gt;=0.4,MAX(5.17/(F1080/G1080)^2,9/(D1080/G1080)^2),11.64/((D1080-F1080)/G1080)^2)),IF(H1080&gt;=-1,247.8*((F1080/D1080)^1.8)*(1-H1080)^2.7,247.8*(1-H1080)^0.32)))</f>
        <v>313.30753940804465</v>
      </c>
      <c r="J1080" s="131">
        <f>MIN(0.9*INPUT!$B$2*I1080/(G1080/COS(ATAN(G139))/L382)^2,N382*D782,INPUT!AQ48/0.7)</f>
        <v>0</v>
      </c>
      <c r="K1080" s="201" t="str">
        <f>IF(OR(E1080="C",B1080&gt;=0),"-",IF(ABS(B1080)&lt;=J1080,"OK","NG"))</f>
        <v>-</v>
      </c>
      <c r="L1080" s="200" t="str">
        <f>IF(OR(E1080="C",B1080&gt;=0),"-",J1080/ABS(B1080))</f>
        <v>-</v>
      </c>
      <c r="M1080" s="201" t="str">
        <f>IF(OR(E1080="C",C1080&gt;=0),"-",IF(ABS(C1080)&lt;=J1080,"OK","NG"))</f>
        <v>NG</v>
      </c>
      <c r="N1080" s="203">
        <f>IF(OR(E1080="C",C1080&gt;=0),"-",J1080/ABS(C1080))</f>
        <v>0</v>
      </c>
    </row>
    <row r="1081">
      <c r="A1081" s="182">
        <f>A952</f>
        <v>101</v>
      </c>
      <c r="B1081" s="198">
        <f>B220</f>
        <v>0.60695545900194237</v>
      </c>
      <c r="C1081" s="198">
        <f>C220</f>
        <v>-0.5613011256267133</v>
      </c>
      <c r="D1081" s="183">
        <f>INPUT!BA49</f>
        <v>1349.6250153914068</v>
      </c>
      <c r="E1081" s="195" t="str">
        <f>IF(2*D1081/COS(ATAN(G140))/L383&lt;=5.7*SQRT(INPUT!$B$2/D783),"C","S")</f>
        <v>S</v>
      </c>
      <c r="F1081" s="180">
        <f>INPUT!AN49</f>
        <v>700</v>
      </c>
      <c r="G1081" s="184">
        <f>G543</f>
        <v>2800</v>
      </c>
      <c r="H1081" s="131">
        <f>IF(OR(B1081=0,C1081=0),0,IF(B1081&lt;=0,C1081/B1081,B1081/C1081))</f>
        <v>-1.0813366146812093</v>
      </c>
      <c r="I1081" s="131">
        <f>IF(INPUT!AB49=0,9/(D1081/G1081)^2,IF(INPUT!AB49=0=1,IF(AND(B1081&lt;=0,C1081&lt;=0),7.2,IF(F1081/D1081&gt;=0.4,MAX(5.17/(F1081/G1081)^2,9/(D1081/G1081)^2),11.64/((D1081-F1081)/G1081)^2)),IF(H1081&gt;=-1,247.8*((F1081/D1081)^1.8)*(1-H1081)^2.7,247.8*(1-H1081)^0.32)))</f>
        <v>313.30753940804465</v>
      </c>
      <c r="J1081" s="131">
        <f>MIN(0.9*INPUT!$B$2*I1081/(G1081/COS(ATAN(G140))/L383)^2,N383*D783,INPUT!AQ49/0.7)</f>
        <v>0</v>
      </c>
      <c r="K1081" s="201" t="str">
        <f>IF(OR(E1081="C",B1081&gt;=0),"-",IF(ABS(B1081)&lt;=J1081,"OK","NG"))</f>
        <v>-</v>
      </c>
      <c r="L1081" s="200" t="str">
        <f>IF(OR(E1081="C",B1081&gt;=0),"-",J1081/ABS(B1081))</f>
        <v>-</v>
      </c>
      <c r="M1081" s="201" t="str">
        <f>IF(OR(E1081="C",C1081&gt;=0),"-",IF(ABS(C1081)&lt;=J1081,"OK","NG"))</f>
        <v>NG</v>
      </c>
      <c r="N1081" s="203">
        <f>IF(OR(E1081="C",C1081&gt;=0),"-",J1081/ABS(C1081))</f>
        <v>0</v>
      </c>
    </row>
    <row r="1082">
      <c r="A1082" s="182">
        <f>A953</f>
        <v>101</v>
      </c>
      <c r="B1082" s="198">
        <f>B221</f>
        <v>0.60695545900194237</v>
      </c>
      <c r="C1082" s="198">
        <f>C221</f>
        <v>-0.5613011256267133</v>
      </c>
      <c r="D1082" s="183">
        <f>INPUT!BA50</f>
        <v>1349.6250153914068</v>
      </c>
      <c r="E1082" s="195" t="str">
        <f>IF(2*D1082/COS(ATAN(G141))/L384&lt;=5.7*SQRT(INPUT!$B$2/D784),"C","S")</f>
        <v>S</v>
      </c>
      <c r="F1082" s="180">
        <f>INPUT!AN50</f>
        <v>700</v>
      </c>
      <c r="G1082" s="184">
        <f>G544</f>
        <v>2800</v>
      </c>
      <c r="H1082" s="131">
        <f>IF(OR(B1082=0,C1082=0),0,IF(B1082&lt;=0,C1082/B1082,B1082/C1082))</f>
        <v>-1.0813366146812093</v>
      </c>
      <c r="I1082" s="131">
        <f>IF(INPUT!AB50=0,9/(D1082/G1082)^2,IF(INPUT!AB50=0=1,IF(AND(B1082&lt;=0,C1082&lt;=0),7.2,IF(F1082/D1082&gt;=0.4,MAX(5.17/(F1082/G1082)^2,9/(D1082/G1082)^2),11.64/((D1082-F1082)/G1082)^2)),IF(H1082&gt;=-1,247.8*((F1082/D1082)^1.8)*(1-H1082)^2.7,247.8*(1-H1082)^0.32)))</f>
        <v>313.30753940804465</v>
      </c>
      <c r="J1082" s="131">
        <f>MIN(0.9*INPUT!$B$2*I1082/(G1082/COS(ATAN(G141))/L384)^2,N384*D784,INPUT!AQ50/0.7)</f>
        <v>0</v>
      </c>
      <c r="K1082" s="201" t="str">
        <f>IF(OR(E1082="C",B1082&gt;=0),"-",IF(ABS(B1082)&lt;=J1082,"OK","NG"))</f>
        <v>-</v>
      </c>
      <c r="L1082" s="200" t="str">
        <f>IF(OR(E1082="C",B1082&gt;=0),"-",J1082/ABS(B1082))</f>
        <v>-</v>
      </c>
      <c r="M1082" s="201" t="str">
        <f>IF(OR(E1082="C",C1082&gt;=0),"-",IF(ABS(C1082)&lt;=J1082,"OK","NG"))</f>
        <v>NG</v>
      </c>
      <c r="N1082" s="203">
        <f>IF(OR(E1082="C",C1082&gt;=0),"-",J1082/ABS(C1082))</f>
        <v>0</v>
      </c>
    </row>
    <row r="1083">
      <c r="A1083" s="182">
        <f>A954</f>
        <v>101</v>
      </c>
      <c r="B1083" s="198">
        <f>B222</f>
        <v>0.60695545900194237</v>
      </c>
      <c r="C1083" s="198">
        <f>C222</f>
        <v>-0.5613011256267133</v>
      </c>
      <c r="D1083" s="183">
        <f>INPUT!BA51</f>
        <v>1349.6250153914068</v>
      </c>
      <c r="E1083" s="195" t="str">
        <f>IF(2*D1083/COS(ATAN(G142))/L385&lt;=5.7*SQRT(INPUT!$B$2/D785),"C","S")</f>
        <v>S</v>
      </c>
      <c r="F1083" s="180">
        <f>INPUT!AN51</f>
        <v>700</v>
      </c>
      <c r="G1083" s="184">
        <f>G545</f>
        <v>2800</v>
      </c>
      <c r="H1083" s="131">
        <f>IF(OR(B1083=0,C1083=0),0,IF(B1083&lt;=0,C1083/B1083,B1083/C1083))</f>
        <v>-1.0813366146812093</v>
      </c>
      <c r="I1083" s="131">
        <f>IF(INPUT!AB51=0,9/(D1083/G1083)^2,IF(INPUT!AB51=0=1,IF(AND(B1083&lt;=0,C1083&lt;=0),7.2,IF(F1083/D1083&gt;=0.4,MAX(5.17/(F1083/G1083)^2,9/(D1083/G1083)^2),11.64/((D1083-F1083)/G1083)^2)),IF(H1083&gt;=-1,247.8*((F1083/D1083)^1.8)*(1-H1083)^2.7,247.8*(1-H1083)^0.32)))</f>
        <v>313.30753940804465</v>
      </c>
      <c r="J1083" s="131">
        <f>MIN(0.9*INPUT!$B$2*I1083/(G1083/COS(ATAN(G142))/L385)^2,N385*D785,INPUT!AQ51/0.7)</f>
        <v>0</v>
      </c>
      <c r="K1083" s="201" t="str">
        <f>IF(OR(E1083="C",B1083&gt;=0),"-",IF(ABS(B1083)&lt;=J1083,"OK","NG"))</f>
        <v>-</v>
      </c>
      <c r="L1083" s="200" t="str">
        <f>IF(OR(E1083="C",B1083&gt;=0),"-",J1083/ABS(B1083))</f>
        <v>-</v>
      </c>
      <c r="M1083" s="201" t="str">
        <f>IF(OR(E1083="C",C1083&gt;=0),"-",IF(ABS(C1083)&lt;=J1083,"OK","NG"))</f>
        <v>NG</v>
      </c>
      <c r="N1083" s="203">
        <f>IF(OR(E1083="C",C1083&gt;=0),"-",J1083/ABS(C1083))</f>
        <v>0</v>
      </c>
    </row>
    <row r="1084">
      <c r="A1084" s="182">
        <f>A955</f>
        <v>101</v>
      </c>
      <c r="B1084" s="198">
        <f>B223</f>
        <v>0.60695545900194237</v>
      </c>
      <c r="C1084" s="198">
        <f>C223</f>
        <v>-0.5613011256267133</v>
      </c>
      <c r="D1084" s="183">
        <f>INPUT!BA52</f>
        <v>1349.6250153914068</v>
      </c>
      <c r="E1084" s="195" t="str">
        <f>IF(2*D1084/COS(ATAN(G143))/L386&lt;=5.7*SQRT(INPUT!$B$2/D786),"C","S")</f>
        <v>S</v>
      </c>
      <c r="F1084" s="180">
        <f>INPUT!AN52</f>
        <v>700</v>
      </c>
      <c r="G1084" s="184">
        <f>G546</f>
        <v>2800</v>
      </c>
      <c r="H1084" s="131">
        <f>IF(OR(B1084=0,C1084=0),0,IF(B1084&lt;=0,C1084/B1084,B1084/C1084))</f>
        <v>-1.0813366146812093</v>
      </c>
      <c r="I1084" s="131">
        <f>IF(INPUT!AB52=0,9/(D1084/G1084)^2,IF(INPUT!AB52=0=1,IF(AND(B1084&lt;=0,C1084&lt;=0),7.2,IF(F1084/D1084&gt;=0.4,MAX(5.17/(F1084/G1084)^2,9/(D1084/G1084)^2),11.64/((D1084-F1084)/G1084)^2)),IF(H1084&gt;=-1,247.8*((F1084/D1084)^1.8)*(1-H1084)^2.7,247.8*(1-H1084)^0.32)))</f>
        <v>313.30753940804465</v>
      </c>
      <c r="J1084" s="131">
        <f>MIN(0.9*INPUT!$B$2*I1084/(G1084/COS(ATAN(G143))/L386)^2,N386*D786,INPUT!AQ52/0.7)</f>
        <v>0</v>
      </c>
      <c r="K1084" s="201" t="str">
        <f>IF(OR(E1084="C",B1084&gt;=0),"-",IF(ABS(B1084)&lt;=J1084,"OK","NG"))</f>
        <v>-</v>
      </c>
      <c r="L1084" s="200" t="str">
        <f>IF(OR(E1084="C",B1084&gt;=0),"-",J1084/ABS(B1084))</f>
        <v>-</v>
      </c>
      <c r="M1084" s="201" t="str">
        <f>IF(OR(E1084="C",C1084&gt;=0),"-",IF(ABS(C1084)&lt;=J1084,"OK","NG"))</f>
        <v>NG</v>
      </c>
      <c r="N1084" s="203">
        <f>IF(OR(E1084="C",C1084&gt;=0),"-",J1084/ABS(C1084))</f>
        <v>0</v>
      </c>
    </row>
    <row r="1085">
      <c r="A1085" s="182">
        <f>A956</f>
        <v>101</v>
      </c>
      <c r="B1085" s="198">
        <f>B224</f>
        <v>0.60695545900194237</v>
      </c>
      <c r="C1085" s="198">
        <f>C224</f>
        <v>-0.5613011256267133</v>
      </c>
      <c r="D1085" s="183">
        <f>INPUT!BA53</f>
        <v>1349.6250153914068</v>
      </c>
      <c r="E1085" s="195" t="str">
        <f>IF(2*D1085/COS(ATAN(G144))/L387&lt;=5.7*SQRT(INPUT!$B$2/D787),"C","S")</f>
        <v>S</v>
      </c>
      <c r="F1085" s="180">
        <f>INPUT!AN53</f>
        <v>700</v>
      </c>
      <c r="G1085" s="184">
        <f>G547</f>
        <v>2800</v>
      </c>
      <c r="H1085" s="131">
        <f>IF(OR(B1085=0,C1085=0),0,IF(B1085&lt;=0,C1085/B1085,B1085/C1085))</f>
        <v>-1.0813366146812093</v>
      </c>
      <c r="I1085" s="131">
        <f>IF(INPUT!AB53=0,9/(D1085/G1085)^2,IF(INPUT!AB53=0=1,IF(AND(B1085&lt;=0,C1085&lt;=0),7.2,IF(F1085/D1085&gt;=0.4,MAX(5.17/(F1085/G1085)^2,9/(D1085/G1085)^2),11.64/((D1085-F1085)/G1085)^2)),IF(H1085&gt;=-1,247.8*((F1085/D1085)^1.8)*(1-H1085)^2.7,247.8*(1-H1085)^0.32)))</f>
        <v>313.30753940804465</v>
      </c>
      <c r="J1085" s="131">
        <f>MIN(0.9*INPUT!$B$2*I1085/(G1085/COS(ATAN(G144))/L387)^2,N387*D787,INPUT!AQ53/0.7)</f>
        <v>0</v>
      </c>
      <c r="K1085" s="201" t="str">
        <f>IF(OR(E1085="C",B1085&gt;=0),"-",IF(ABS(B1085)&lt;=J1085,"OK","NG"))</f>
        <v>-</v>
      </c>
      <c r="L1085" s="200" t="str">
        <f>IF(OR(E1085="C",B1085&gt;=0),"-",J1085/ABS(B1085))</f>
        <v>-</v>
      </c>
      <c r="M1085" s="201" t="str">
        <f>IF(OR(E1085="C",C1085&gt;=0),"-",IF(ABS(C1085)&lt;=J1085,"OK","NG"))</f>
        <v>NG</v>
      </c>
      <c r="N1085" s="203">
        <f>IF(OR(E1085="C",C1085&gt;=0),"-",J1085/ABS(C1085))</f>
        <v>0</v>
      </c>
    </row>
    <row r="1086">
      <c r="A1086" s="182">
        <f>A957</f>
        <v>101</v>
      </c>
      <c r="B1086" s="198">
        <f>B225</f>
        <v>0.60695545900194237</v>
      </c>
      <c r="C1086" s="198">
        <f>C225</f>
        <v>-0.5613011256267133</v>
      </c>
      <c r="D1086" s="183">
        <f>INPUT!BA54</f>
        <v>1349.6250153914068</v>
      </c>
      <c r="E1086" s="195" t="str">
        <f>IF(2*D1086/COS(ATAN(G145))/L388&lt;=5.7*SQRT(INPUT!$B$2/D788),"C","S")</f>
        <v>S</v>
      </c>
      <c r="F1086" s="180">
        <f>INPUT!AN54</f>
        <v>700</v>
      </c>
      <c r="G1086" s="184">
        <f>G548</f>
        <v>2800</v>
      </c>
      <c r="H1086" s="131">
        <f>IF(OR(B1086=0,C1086=0),0,IF(B1086&lt;=0,C1086/B1086,B1086/C1086))</f>
        <v>-1.0813366146812093</v>
      </c>
      <c r="I1086" s="131">
        <f>IF(INPUT!AB54=0,9/(D1086/G1086)^2,IF(INPUT!AB54=0=1,IF(AND(B1086&lt;=0,C1086&lt;=0),7.2,IF(F1086/D1086&gt;=0.4,MAX(5.17/(F1086/G1086)^2,9/(D1086/G1086)^2),11.64/((D1086-F1086)/G1086)^2)),IF(H1086&gt;=-1,247.8*((F1086/D1086)^1.8)*(1-H1086)^2.7,247.8*(1-H1086)^0.32)))</f>
        <v>313.30753940804465</v>
      </c>
      <c r="J1086" s="131">
        <f>MIN(0.9*INPUT!$B$2*I1086/(G1086/COS(ATAN(G145))/L388)^2,N388*D788,INPUT!AQ54/0.7)</f>
        <v>0</v>
      </c>
      <c r="K1086" s="201" t="str">
        <f>IF(OR(E1086="C",B1086&gt;=0),"-",IF(ABS(B1086)&lt;=J1086,"OK","NG"))</f>
        <v>-</v>
      </c>
      <c r="L1086" s="200" t="str">
        <f>IF(OR(E1086="C",B1086&gt;=0),"-",J1086/ABS(B1086))</f>
        <v>-</v>
      </c>
      <c r="M1086" s="201" t="str">
        <f>IF(OR(E1086="C",C1086&gt;=0),"-",IF(ABS(C1086)&lt;=J1086,"OK","NG"))</f>
        <v>NG</v>
      </c>
      <c r="N1086" s="203">
        <f>IF(OR(E1086="C",C1086&gt;=0),"-",J1086/ABS(C1086))</f>
        <v>0</v>
      </c>
    </row>
    <row r="1087">
      <c r="A1087" s="182">
        <f>A958</f>
        <v>101</v>
      </c>
      <c r="B1087" s="198">
        <f>B226</f>
        <v>0.60695545900194237</v>
      </c>
      <c r="C1087" s="198">
        <f>C226</f>
        <v>-0.5613011256267133</v>
      </c>
      <c r="D1087" s="183">
        <f>INPUT!BA55</f>
        <v>1349.6250153914068</v>
      </c>
      <c r="E1087" s="195" t="str">
        <f>IF(2*D1087/COS(ATAN(G146))/L389&lt;=5.7*SQRT(INPUT!$B$2/D789),"C","S")</f>
        <v>S</v>
      </c>
      <c r="F1087" s="180">
        <f>INPUT!AN55</f>
        <v>700</v>
      </c>
      <c r="G1087" s="184">
        <f>G549</f>
        <v>2800</v>
      </c>
      <c r="H1087" s="131">
        <f>IF(OR(B1087=0,C1087=0),0,IF(B1087&lt;=0,C1087/B1087,B1087/C1087))</f>
        <v>-1.0813366146812093</v>
      </c>
      <c r="I1087" s="131">
        <f>IF(INPUT!AB55=0,9/(D1087/G1087)^2,IF(INPUT!AB55=0=1,IF(AND(B1087&lt;=0,C1087&lt;=0),7.2,IF(F1087/D1087&gt;=0.4,MAX(5.17/(F1087/G1087)^2,9/(D1087/G1087)^2),11.64/((D1087-F1087)/G1087)^2)),IF(H1087&gt;=-1,247.8*((F1087/D1087)^1.8)*(1-H1087)^2.7,247.8*(1-H1087)^0.32)))</f>
        <v>313.30753940804465</v>
      </c>
      <c r="J1087" s="131">
        <f>MIN(0.9*INPUT!$B$2*I1087/(G1087/COS(ATAN(G146))/L389)^2,N389*D789,INPUT!AQ55/0.7)</f>
        <v>0</v>
      </c>
      <c r="K1087" s="201" t="str">
        <f>IF(OR(E1087="C",B1087&gt;=0),"-",IF(ABS(B1087)&lt;=J1087,"OK","NG"))</f>
        <v>-</v>
      </c>
      <c r="L1087" s="200" t="str">
        <f>IF(OR(E1087="C",B1087&gt;=0),"-",J1087/ABS(B1087))</f>
        <v>-</v>
      </c>
      <c r="M1087" s="201" t="str">
        <f>IF(OR(E1087="C",C1087&gt;=0),"-",IF(ABS(C1087)&lt;=J1087,"OK","NG"))</f>
        <v>NG</v>
      </c>
      <c r="N1087" s="203">
        <f>IF(OR(E1087="C",C1087&gt;=0),"-",J1087/ABS(C1087))</f>
        <v>0</v>
      </c>
    </row>
    <row r="1088">
      <c r="A1088" s="182">
        <f>A959</f>
        <v>101</v>
      </c>
      <c r="B1088" s="198">
        <f>B227</f>
        <v>0.60695545900194237</v>
      </c>
      <c r="C1088" s="198">
        <f>C227</f>
        <v>-0.5613011256267133</v>
      </c>
      <c r="D1088" s="183">
        <f>INPUT!BA56</f>
        <v>1349.6250153914068</v>
      </c>
      <c r="E1088" s="195" t="str">
        <f>IF(2*D1088/COS(ATAN(G147))/L390&lt;=5.7*SQRT(INPUT!$B$2/D790),"C","S")</f>
        <v>S</v>
      </c>
      <c r="F1088" s="180">
        <f>INPUT!AN56</f>
        <v>700</v>
      </c>
      <c r="G1088" s="184">
        <f>G550</f>
        <v>2800</v>
      </c>
      <c r="H1088" s="131">
        <f>IF(OR(B1088=0,C1088=0),0,IF(B1088&lt;=0,C1088/B1088,B1088/C1088))</f>
        <v>-1.0813366146812093</v>
      </c>
      <c r="I1088" s="131">
        <f>IF(INPUT!AB56=0,9/(D1088/G1088)^2,IF(INPUT!AB56=0=1,IF(AND(B1088&lt;=0,C1088&lt;=0),7.2,IF(F1088/D1088&gt;=0.4,MAX(5.17/(F1088/G1088)^2,9/(D1088/G1088)^2),11.64/((D1088-F1088)/G1088)^2)),IF(H1088&gt;=-1,247.8*((F1088/D1088)^1.8)*(1-H1088)^2.7,247.8*(1-H1088)^0.32)))</f>
        <v>313.30753940804465</v>
      </c>
      <c r="J1088" s="131">
        <f>MIN(0.9*INPUT!$B$2*I1088/(G1088/COS(ATAN(G147))/L390)^2,N390*D790,INPUT!AQ56/0.7)</f>
        <v>0</v>
      </c>
      <c r="K1088" s="201" t="str">
        <f>IF(OR(E1088="C",B1088&gt;=0),"-",IF(ABS(B1088)&lt;=J1088,"OK","NG"))</f>
        <v>-</v>
      </c>
      <c r="L1088" s="200" t="str">
        <f>IF(OR(E1088="C",B1088&gt;=0),"-",J1088/ABS(B1088))</f>
        <v>-</v>
      </c>
      <c r="M1088" s="201" t="str">
        <f>IF(OR(E1088="C",C1088&gt;=0),"-",IF(ABS(C1088)&lt;=J1088,"OK","NG"))</f>
        <v>NG</v>
      </c>
      <c r="N1088" s="203">
        <f>IF(OR(E1088="C",C1088&gt;=0),"-",J1088/ABS(C1088))</f>
        <v>0</v>
      </c>
    </row>
    <row r="1089">
      <c r="A1089" s="182">
        <f>A960</f>
        <v>101</v>
      </c>
      <c r="B1089" s="198">
        <f>B228</f>
        <v>0.60695545900194237</v>
      </c>
      <c r="C1089" s="198">
        <f>C228</f>
        <v>-0.5613011256267133</v>
      </c>
      <c r="D1089" s="183">
        <f>INPUT!BA57</f>
        <v>1349.6250153914068</v>
      </c>
      <c r="E1089" s="195" t="str">
        <f>IF(2*D1089/COS(ATAN(G148))/L391&lt;=5.7*SQRT(INPUT!$B$2/D791),"C","S")</f>
        <v>S</v>
      </c>
      <c r="F1089" s="180">
        <f>INPUT!AN57</f>
        <v>700</v>
      </c>
      <c r="G1089" s="184">
        <f>G551</f>
        <v>2800</v>
      </c>
      <c r="H1089" s="131">
        <f>IF(OR(B1089=0,C1089=0),0,IF(B1089&lt;=0,C1089/B1089,B1089/C1089))</f>
        <v>-1.0813366146812093</v>
      </c>
      <c r="I1089" s="131">
        <f>IF(INPUT!AB57=0,9/(D1089/G1089)^2,IF(INPUT!AB57=0=1,IF(AND(B1089&lt;=0,C1089&lt;=0),7.2,IF(F1089/D1089&gt;=0.4,MAX(5.17/(F1089/G1089)^2,9/(D1089/G1089)^2),11.64/((D1089-F1089)/G1089)^2)),IF(H1089&gt;=-1,247.8*((F1089/D1089)^1.8)*(1-H1089)^2.7,247.8*(1-H1089)^0.32)))</f>
        <v>313.30753940804465</v>
      </c>
      <c r="J1089" s="131">
        <f>MIN(0.9*INPUT!$B$2*I1089/(G1089/COS(ATAN(G148))/L391)^2,N391*D791,INPUT!AQ57/0.7)</f>
        <v>0</v>
      </c>
      <c r="K1089" s="201" t="str">
        <f>IF(OR(E1089="C",B1089&gt;=0),"-",IF(ABS(B1089)&lt;=J1089,"OK","NG"))</f>
        <v>-</v>
      </c>
      <c r="L1089" s="200" t="str">
        <f>IF(OR(E1089="C",B1089&gt;=0),"-",J1089/ABS(B1089))</f>
        <v>-</v>
      </c>
      <c r="M1089" s="201" t="str">
        <f>IF(OR(E1089="C",C1089&gt;=0),"-",IF(ABS(C1089)&lt;=J1089,"OK","NG"))</f>
        <v>NG</v>
      </c>
      <c r="N1089" s="203">
        <f>IF(OR(E1089="C",C1089&gt;=0),"-",J1089/ABS(C1089))</f>
        <v>0</v>
      </c>
    </row>
    <row r="1090">
      <c r="A1090" s="182">
        <f>A961</f>
        <v>101</v>
      </c>
      <c r="B1090" s="198">
        <f>B229</f>
        <v>0.60695545900194237</v>
      </c>
      <c r="C1090" s="198">
        <f>C229</f>
        <v>-0.5613011256267133</v>
      </c>
      <c r="D1090" s="183">
        <f>INPUT!BA58</f>
        <v>1349.6250153914068</v>
      </c>
      <c r="E1090" s="195" t="str">
        <f>IF(2*D1090/COS(ATAN(G149))/L392&lt;=5.7*SQRT(INPUT!$B$2/D792),"C","S")</f>
        <v>S</v>
      </c>
      <c r="F1090" s="180">
        <f>INPUT!AN58</f>
        <v>700</v>
      </c>
      <c r="G1090" s="184">
        <f>G552</f>
        <v>2800</v>
      </c>
      <c r="H1090" s="131">
        <f>IF(OR(B1090=0,C1090=0),0,IF(B1090&lt;=0,C1090/B1090,B1090/C1090))</f>
        <v>-1.0813366146812093</v>
      </c>
      <c r="I1090" s="131">
        <f>IF(INPUT!AB58=0,9/(D1090/G1090)^2,IF(INPUT!AB58=0=1,IF(AND(B1090&lt;=0,C1090&lt;=0),7.2,IF(F1090/D1090&gt;=0.4,MAX(5.17/(F1090/G1090)^2,9/(D1090/G1090)^2),11.64/((D1090-F1090)/G1090)^2)),IF(H1090&gt;=-1,247.8*((F1090/D1090)^1.8)*(1-H1090)^2.7,247.8*(1-H1090)^0.32)))</f>
        <v>313.30753940804465</v>
      </c>
      <c r="J1090" s="131">
        <f>MIN(0.9*INPUT!$B$2*I1090/(G1090/COS(ATAN(G149))/L392)^2,N392*D792,INPUT!AQ58/0.7)</f>
        <v>0</v>
      </c>
      <c r="K1090" s="201" t="str">
        <f>IF(OR(E1090="C",B1090&gt;=0),"-",IF(ABS(B1090)&lt;=J1090,"OK","NG"))</f>
        <v>-</v>
      </c>
      <c r="L1090" s="200" t="str">
        <f>IF(OR(E1090="C",B1090&gt;=0),"-",J1090/ABS(B1090))</f>
        <v>-</v>
      </c>
      <c r="M1090" s="201" t="str">
        <f>IF(OR(E1090="C",C1090&gt;=0),"-",IF(ABS(C1090)&lt;=J1090,"OK","NG"))</f>
        <v>NG</v>
      </c>
      <c r="N1090" s="203">
        <f>IF(OR(E1090="C",C1090&gt;=0),"-",J1090/ABS(C1090))</f>
        <v>0</v>
      </c>
    </row>
    <row r="1091">
      <c r="A1091" s="182">
        <f>A962</f>
        <v>101</v>
      </c>
      <c r="B1091" s="198">
        <f>B230</f>
        <v>0.60695545900194237</v>
      </c>
      <c r="C1091" s="198">
        <f>C230</f>
        <v>-0.5613011256267133</v>
      </c>
      <c r="D1091" s="183">
        <f>INPUT!BA59</f>
        <v>1349.6250153914068</v>
      </c>
      <c r="E1091" s="195" t="str">
        <f>IF(2*D1091/COS(ATAN(G150))/L393&lt;=5.7*SQRT(INPUT!$B$2/D793),"C","S")</f>
        <v>S</v>
      </c>
      <c r="F1091" s="180">
        <f>INPUT!AN59</f>
        <v>700</v>
      </c>
      <c r="G1091" s="184">
        <f>G553</f>
        <v>2800</v>
      </c>
      <c r="H1091" s="131">
        <f>IF(OR(B1091=0,C1091=0),0,IF(B1091&lt;=0,C1091/B1091,B1091/C1091))</f>
        <v>-1.0813366146812093</v>
      </c>
      <c r="I1091" s="131">
        <f>IF(INPUT!AB59=0,9/(D1091/G1091)^2,IF(INPUT!AB59=0=1,IF(AND(B1091&lt;=0,C1091&lt;=0),7.2,IF(F1091/D1091&gt;=0.4,MAX(5.17/(F1091/G1091)^2,9/(D1091/G1091)^2),11.64/((D1091-F1091)/G1091)^2)),IF(H1091&gt;=-1,247.8*((F1091/D1091)^1.8)*(1-H1091)^2.7,247.8*(1-H1091)^0.32)))</f>
        <v>313.30753940804465</v>
      </c>
      <c r="J1091" s="131">
        <f>MIN(0.9*INPUT!$B$2*I1091/(G1091/COS(ATAN(G150))/L393)^2,N393*D793,INPUT!AQ59/0.7)</f>
        <v>0</v>
      </c>
      <c r="K1091" s="201" t="str">
        <f>IF(OR(E1091="C",B1091&gt;=0),"-",IF(ABS(B1091)&lt;=J1091,"OK","NG"))</f>
        <v>-</v>
      </c>
      <c r="L1091" s="200" t="str">
        <f>IF(OR(E1091="C",B1091&gt;=0),"-",J1091/ABS(B1091))</f>
        <v>-</v>
      </c>
      <c r="M1091" s="201" t="str">
        <f>IF(OR(E1091="C",C1091&gt;=0),"-",IF(ABS(C1091)&lt;=J1091,"OK","NG"))</f>
        <v>NG</v>
      </c>
      <c r="N1091" s="203">
        <f>IF(OR(E1091="C",C1091&gt;=0),"-",J1091/ABS(C1091))</f>
        <v>0</v>
      </c>
    </row>
    <row r="1092">
      <c r="A1092" s="182">
        <f>A963</f>
        <v>101</v>
      </c>
      <c r="B1092" s="198">
        <f>B231</f>
        <v>0.60695545900194237</v>
      </c>
      <c r="C1092" s="198">
        <f>C231</f>
        <v>-0.5613011256267133</v>
      </c>
      <c r="D1092" s="183">
        <f>INPUT!BA60</f>
        <v>1349.6250153914068</v>
      </c>
      <c r="E1092" s="195" t="str">
        <f>IF(2*D1092/COS(ATAN(G151))/L394&lt;=5.7*SQRT(INPUT!$B$2/D794),"C","S")</f>
        <v>S</v>
      </c>
      <c r="F1092" s="180">
        <f>INPUT!AN60</f>
        <v>700</v>
      </c>
      <c r="G1092" s="184">
        <f>G554</f>
        <v>2800</v>
      </c>
      <c r="H1092" s="131">
        <f>IF(OR(B1092=0,C1092=0),0,IF(B1092&lt;=0,C1092/B1092,B1092/C1092))</f>
        <v>-1.0813366146812093</v>
      </c>
      <c r="I1092" s="131">
        <f>IF(INPUT!AB60=0,9/(D1092/G1092)^2,IF(INPUT!AB60=0=1,IF(AND(B1092&lt;=0,C1092&lt;=0),7.2,IF(F1092/D1092&gt;=0.4,MAX(5.17/(F1092/G1092)^2,9/(D1092/G1092)^2),11.64/((D1092-F1092)/G1092)^2)),IF(H1092&gt;=-1,247.8*((F1092/D1092)^1.8)*(1-H1092)^2.7,247.8*(1-H1092)^0.32)))</f>
        <v>313.30753940804465</v>
      </c>
      <c r="J1092" s="131">
        <f>MIN(0.9*INPUT!$B$2*I1092/(G1092/COS(ATAN(G151))/L394)^2,N394*D794,INPUT!AQ60/0.7)</f>
        <v>0</v>
      </c>
      <c r="K1092" s="201" t="str">
        <f>IF(OR(E1092="C",B1092&gt;=0),"-",IF(ABS(B1092)&lt;=J1092,"OK","NG"))</f>
        <v>-</v>
      </c>
      <c r="L1092" s="200" t="str">
        <f>IF(OR(E1092="C",B1092&gt;=0),"-",J1092/ABS(B1092))</f>
        <v>-</v>
      </c>
      <c r="M1092" s="201" t="str">
        <f>IF(OR(E1092="C",C1092&gt;=0),"-",IF(ABS(C1092)&lt;=J1092,"OK","NG"))</f>
        <v>NG</v>
      </c>
      <c r="N1092" s="203">
        <f>IF(OR(E1092="C",C1092&gt;=0),"-",J1092/ABS(C1092))</f>
        <v>0</v>
      </c>
    </row>
    <row r="1093">
      <c r="A1093" s="182">
        <f>A964</f>
        <v>101</v>
      </c>
      <c r="B1093" s="198">
        <f>B232</f>
        <v>0.60695545900194237</v>
      </c>
      <c r="C1093" s="198">
        <f>C232</f>
        <v>-0.5613011256267133</v>
      </c>
      <c r="D1093" s="183">
        <f>INPUT!BA61</f>
        <v>1349.6250153914068</v>
      </c>
      <c r="E1093" s="195" t="str">
        <f>IF(2*D1093/COS(ATAN(G152))/L395&lt;=5.7*SQRT(INPUT!$B$2/D795),"C","S")</f>
        <v>S</v>
      </c>
      <c r="F1093" s="180">
        <f>INPUT!AN61</f>
        <v>700</v>
      </c>
      <c r="G1093" s="184">
        <f>G555</f>
        <v>2800</v>
      </c>
      <c r="H1093" s="131">
        <f>IF(OR(B1093=0,C1093=0),0,IF(B1093&lt;=0,C1093/B1093,B1093/C1093))</f>
        <v>-1.0813366146812093</v>
      </c>
      <c r="I1093" s="131">
        <f>IF(INPUT!AB61=0,9/(D1093/G1093)^2,IF(INPUT!AB61=0=1,IF(AND(B1093&lt;=0,C1093&lt;=0),7.2,IF(F1093/D1093&gt;=0.4,MAX(5.17/(F1093/G1093)^2,9/(D1093/G1093)^2),11.64/((D1093-F1093)/G1093)^2)),IF(H1093&gt;=-1,247.8*((F1093/D1093)^1.8)*(1-H1093)^2.7,247.8*(1-H1093)^0.32)))</f>
        <v>313.30753940804465</v>
      </c>
      <c r="J1093" s="131">
        <f>MIN(0.9*INPUT!$B$2*I1093/(G1093/COS(ATAN(G152))/L395)^2,N395*D795,INPUT!AQ61/0.7)</f>
        <v>0</v>
      </c>
      <c r="K1093" s="201" t="str">
        <f>IF(OR(E1093="C",B1093&gt;=0),"-",IF(ABS(B1093)&lt;=J1093,"OK","NG"))</f>
        <v>-</v>
      </c>
      <c r="L1093" s="200" t="str">
        <f>IF(OR(E1093="C",B1093&gt;=0),"-",J1093/ABS(B1093))</f>
        <v>-</v>
      </c>
      <c r="M1093" s="201" t="str">
        <f>IF(OR(E1093="C",C1093&gt;=0),"-",IF(ABS(C1093)&lt;=J1093,"OK","NG"))</f>
        <v>NG</v>
      </c>
      <c r="N1093" s="203">
        <f>IF(OR(E1093="C",C1093&gt;=0),"-",J1093/ABS(C1093))</f>
        <v>0</v>
      </c>
    </row>
    <row r="1094">
      <c r="A1094" s="182">
        <f>A965</f>
        <v>101</v>
      </c>
      <c r="B1094" s="198">
        <f>B233</f>
        <v>0.60695545900194237</v>
      </c>
      <c r="C1094" s="198">
        <f>C233</f>
        <v>-0.5613011256267133</v>
      </c>
      <c r="D1094" s="183">
        <f>INPUT!BA62</f>
        <v>1349.6250153914068</v>
      </c>
      <c r="E1094" s="195" t="str">
        <f>IF(2*D1094/COS(ATAN(G153))/L396&lt;=5.7*SQRT(INPUT!$B$2/D796),"C","S")</f>
        <v>S</v>
      </c>
      <c r="F1094" s="180">
        <f>INPUT!AN62</f>
        <v>700</v>
      </c>
      <c r="G1094" s="184">
        <f>G556</f>
        <v>2800</v>
      </c>
      <c r="H1094" s="131">
        <f>IF(OR(B1094=0,C1094=0),0,IF(B1094&lt;=0,C1094/B1094,B1094/C1094))</f>
        <v>-1.0813366146812093</v>
      </c>
      <c r="I1094" s="131">
        <f>IF(INPUT!AB62=0,9/(D1094/G1094)^2,IF(INPUT!AB62=0=1,IF(AND(B1094&lt;=0,C1094&lt;=0),7.2,IF(F1094/D1094&gt;=0.4,MAX(5.17/(F1094/G1094)^2,9/(D1094/G1094)^2),11.64/((D1094-F1094)/G1094)^2)),IF(H1094&gt;=-1,247.8*((F1094/D1094)^1.8)*(1-H1094)^2.7,247.8*(1-H1094)^0.32)))</f>
        <v>313.30753940804465</v>
      </c>
      <c r="J1094" s="131">
        <f>MIN(0.9*INPUT!$B$2*I1094/(G1094/COS(ATAN(G153))/L396)^2,N396*D796,INPUT!AQ62/0.7)</f>
        <v>0</v>
      </c>
      <c r="K1094" s="201" t="str">
        <f>IF(OR(E1094="C",B1094&gt;=0),"-",IF(ABS(B1094)&lt;=J1094,"OK","NG"))</f>
        <v>-</v>
      </c>
      <c r="L1094" s="200" t="str">
        <f>IF(OR(E1094="C",B1094&gt;=0),"-",J1094/ABS(B1094))</f>
        <v>-</v>
      </c>
      <c r="M1094" s="201" t="str">
        <f>IF(OR(E1094="C",C1094&gt;=0),"-",IF(ABS(C1094)&lt;=J1094,"OK","NG"))</f>
        <v>NG</v>
      </c>
      <c r="N1094" s="203">
        <f>IF(OR(E1094="C",C1094&gt;=0),"-",J1094/ABS(C1094))</f>
        <v>0</v>
      </c>
    </row>
    <row r="1095">
      <c r="A1095" s="182">
        <f>A966</f>
        <v>101</v>
      </c>
      <c r="B1095" s="198">
        <f>B234</f>
        <v>0.60695545900194237</v>
      </c>
      <c r="C1095" s="198">
        <f>C234</f>
        <v>-0.5613011256267133</v>
      </c>
      <c r="D1095" s="183">
        <f>INPUT!BA63</f>
        <v>1349.6250153914068</v>
      </c>
      <c r="E1095" s="195" t="str">
        <f>IF(2*D1095/COS(ATAN(G154))/L397&lt;=5.7*SQRT(INPUT!$B$2/D797),"C","S")</f>
        <v>S</v>
      </c>
      <c r="F1095" s="180">
        <f>INPUT!AN63</f>
        <v>700</v>
      </c>
      <c r="G1095" s="184">
        <f>G557</f>
        <v>2800</v>
      </c>
      <c r="H1095" s="131">
        <f>IF(OR(B1095=0,C1095=0),0,IF(B1095&lt;=0,C1095/B1095,B1095/C1095))</f>
        <v>-1.0813366146812093</v>
      </c>
      <c r="I1095" s="131">
        <f>IF(INPUT!AB63=0,9/(D1095/G1095)^2,IF(INPUT!AB63=0=1,IF(AND(B1095&lt;=0,C1095&lt;=0),7.2,IF(F1095/D1095&gt;=0.4,MAX(5.17/(F1095/G1095)^2,9/(D1095/G1095)^2),11.64/((D1095-F1095)/G1095)^2)),IF(H1095&gt;=-1,247.8*((F1095/D1095)^1.8)*(1-H1095)^2.7,247.8*(1-H1095)^0.32)))</f>
        <v>313.30753940804465</v>
      </c>
      <c r="J1095" s="131">
        <f>MIN(0.9*INPUT!$B$2*I1095/(G1095/COS(ATAN(G154))/L397)^2,N397*D797,INPUT!AQ63/0.7)</f>
        <v>0</v>
      </c>
      <c r="K1095" s="201" t="str">
        <f>IF(OR(E1095="C",B1095&gt;=0),"-",IF(ABS(B1095)&lt;=J1095,"OK","NG"))</f>
        <v>-</v>
      </c>
      <c r="L1095" s="200" t="str">
        <f>IF(OR(E1095="C",B1095&gt;=0),"-",J1095/ABS(B1095))</f>
        <v>-</v>
      </c>
      <c r="M1095" s="201" t="str">
        <f>IF(OR(E1095="C",C1095&gt;=0),"-",IF(ABS(C1095)&lt;=J1095,"OK","NG"))</f>
        <v>NG</v>
      </c>
      <c r="N1095" s="203">
        <f>IF(OR(E1095="C",C1095&gt;=0),"-",J1095/ABS(C1095))</f>
        <v>0</v>
      </c>
    </row>
    <row r="1096">
      <c r="A1096" s="182">
        <f>A967</f>
        <v>101</v>
      </c>
      <c r="B1096" s="198">
        <f>B235</f>
        <v>0.60695545900194237</v>
      </c>
      <c r="C1096" s="198">
        <f>C235</f>
        <v>-0.5613011256267133</v>
      </c>
      <c r="D1096" s="183">
        <f>INPUT!BA64</f>
        <v>1349.6250153914068</v>
      </c>
      <c r="E1096" s="195" t="str">
        <f>IF(2*D1096/COS(ATAN(G155))/L398&lt;=5.7*SQRT(INPUT!$B$2/D798),"C","S")</f>
        <v>S</v>
      </c>
      <c r="F1096" s="180">
        <f>INPUT!AN64</f>
        <v>700</v>
      </c>
      <c r="G1096" s="184">
        <f>G558</f>
        <v>2800</v>
      </c>
      <c r="H1096" s="131">
        <f>IF(OR(B1096=0,C1096=0),0,IF(B1096&lt;=0,C1096/B1096,B1096/C1096))</f>
        <v>-1.0813366146812093</v>
      </c>
      <c r="I1096" s="131">
        <f>IF(INPUT!AB64=0,9/(D1096/G1096)^2,IF(INPUT!AB64=0=1,IF(AND(B1096&lt;=0,C1096&lt;=0),7.2,IF(F1096/D1096&gt;=0.4,MAX(5.17/(F1096/G1096)^2,9/(D1096/G1096)^2),11.64/((D1096-F1096)/G1096)^2)),IF(H1096&gt;=-1,247.8*((F1096/D1096)^1.8)*(1-H1096)^2.7,247.8*(1-H1096)^0.32)))</f>
        <v>313.30753940804465</v>
      </c>
      <c r="J1096" s="131">
        <f>MIN(0.9*INPUT!$B$2*I1096/(G1096/COS(ATAN(G155))/L398)^2,N398*D798,INPUT!AQ64/0.7)</f>
        <v>0</v>
      </c>
      <c r="K1096" s="201" t="str">
        <f>IF(OR(E1096="C",B1096&gt;=0),"-",IF(ABS(B1096)&lt;=J1096,"OK","NG"))</f>
        <v>-</v>
      </c>
      <c r="L1096" s="200" t="str">
        <f>IF(OR(E1096="C",B1096&gt;=0),"-",J1096/ABS(B1096))</f>
        <v>-</v>
      </c>
      <c r="M1096" s="201" t="str">
        <f>IF(OR(E1096="C",C1096&gt;=0),"-",IF(ABS(C1096)&lt;=J1096,"OK","NG"))</f>
        <v>NG</v>
      </c>
      <c r="N1096" s="203">
        <f>IF(OR(E1096="C",C1096&gt;=0),"-",J1096/ABS(C1096))</f>
        <v>0</v>
      </c>
    </row>
    <row r="1097">
      <c r="A1097" s="182">
        <f>A968</f>
        <v>101</v>
      </c>
      <c r="B1097" s="198">
        <f>B236</f>
        <v>0.60695545900194237</v>
      </c>
      <c r="C1097" s="198">
        <f>C236</f>
        <v>-0.5613011256267133</v>
      </c>
      <c r="D1097" s="183">
        <f>INPUT!BA65</f>
        <v>1349.6250153914068</v>
      </c>
      <c r="E1097" s="195" t="str">
        <f>IF(2*D1097/COS(ATAN(G156))/L399&lt;=5.7*SQRT(INPUT!$B$2/D799),"C","S")</f>
        <v>S</v>
      </c>
      <c r="F1097" s="180">
        <f>INPUT!AN65</f>
        <v>700</v>
      </c>
      <c r="G1097" s="184">
        <f>G559</f>
        <v>2800</v>
      </c>
      <c r="H1097" s="131">
        <f>IF(OR(B1097=0,C1097=0),0,IF(B1097&lt;=0,C1097/B1097,B1097/C1097))</f>
        <v>-1.0813366146812093</v>
      </c>
      <c r="I1097" s="131">
        <f>IF(INPUT!AB65=0,9/(D1097/G1097)^2,IF(INPUT!AB65=0=1,IF(AND(B1097&lt;=0,C1097&lt;=0),7.2,IF(F1097/D1097&gt;=0.4,MAX(5.17/(F1097/G1097)^2,9/(D1097/G1097)^2),11.64/((D1097-F1097)/G1097)^2)),IF(H1097&gt;=-1,247.8*((F1097/D1097)^1.8)*(1-H1097)^2.7,247.8*(1-H1097)^0.32)))</f>
        <v>313.30753940804465</v>
      </c>
      <c r="J1097" s="131">
        <f>MIN(0.9*INPUT!$B$2*I1097/(G1097/COS(ATAN(G156))/L399)^2,N399*D799,INPUT!AQ65/0.7)</f>
        <v>0</v>
      </c>
      <c r="K1097" s="201" t="str">
        <f>IF(OR(E1097="C",B1097&gt;=0),"-",IF(ABS(B1097)&lt;=J1097,"OK","NG"))</f>
        <v>-</v>
      </c>
      <c r="L1097" s="200" t="str">
        <f>IF(OR(E1097="C",B1097&gt;=0),"-",J1097/ABS(B1097))</f>
        <v>-</v>
      </c>
      <c r="M1097" s="201" t="str">
        <f>IF(OR(E1097="C",C1097&gt;=0),"-",IF(ABS(C1097)&lt;=J1097,"OK","NG"))</f>
        <v>NG</v>
      </c>
      <c r="N1097" s="203">
        <f>IF(OR(E1097="C",C1097&gt;=0),"-",J1097/ABS(C1097))</f>
        <v>0</v>
      </c>
    </row>
    <row r="1098">
      <c r="A1098" s="182">
        <f>A969</f>
        <v>101</v>
      </c>
      <c r="B1098" s="198">
        <f>B237</f>
        <v>0.60695545900194237</v>
      </c>
      <c r="C1098" s="198">
        <f>C237</f>
        <v>-0.5613011256267133</v>
      </c>
      <c r="D1098" s="183">
        <f>INPUT!BA66</f>
        <v>1349.6250153914068</v>
      </c>
      <c r="E1098" s="195" t="str">
        <f>IF(2*D1098/COS(ATAN(G157))/L400&lt;=5.7*SQRT(INPUT!$B$2/D800),"C","S")</f>
        <v>S</v>
      </c>
      <c r="F1098" s="180">
        <f>INPUT!AN66</f>
        <v>700</v>
      </c>
      <c r="G1098" s="184">
        <f>G560</f>
        <v>2800</v>
      </c>
      <c r="H1098" s="131">
        <f>IF(OR(B1098=0,C1098=0),0,IF(B1098&lt;=0,C1098/B1098,B1098/C1098))</f>
        <v>-1.0813366146812093</v>
      </c>
      <c r="I1098" s="131">
        <f>IF(INPUT!AB66=0,9/(D1098/G1098)^2,IF(INPUT!AB66=0=1,IF(AND(B1098&lt;=0,C1098&lt;=0),7.2,IF(F1098/D1098&gt;=0.4,MAX(5.17/(F1098/G1098)^2,9/(D1098/G1098)^2),11.64/((D1098-F1098)/G1098)^2)),IF(H1098&gt;=-1,247.8*((F1098/D1098)^1.8)*(1-H1098)^2.7,247.8*(1-H1098)^0.32)))</f>
        <v>313.30753940804465</v>
      </c>
      <c r="J1098" s="131">
        <f>MIN(0.9*INPUT!$B$2*I1098/(G1098/COS(ATAN(G157))/L400)^2,N400*D800,INPUT!AQ66/0.7)</f>
        <v>0</v>
      </c>
      <c r="K1098" s="201" t="str">
        <f>IF(OR(E1098="C",B1098&gt;=0),"-",IF(ABS(B1098)&lt;=J1098,"OK","NG"))</f>
        <v>-</v>
      </c>
      <c r="L1098" s="200" t="str">
        <f>IF(OR(E1098="C",B1098&gt;=0),"-",J1098/ABS(B1098))</f>
        <v>-</v>
      </c>
      <c r="M1098" s="201" t="str">
        <f>IF(OR(E1098="C",C1098&gt;=0),"-",IF(ABS(C1098)&lt;=J1098,"OK","NG"))</f>
        <v>NG</v>
      </c>
      <c r="N1098" s="203">
        <f>IF(OR(E1098="C",C1098&gt;=0),"-",J1098/ABS(C1098))</f>
        <v>0</v>
      </c>
    </row>
    <row r="1099">
      <c r="A1099" s="182">
        <f>A970</f>
        <v>101</v>
      </c>
      <c r="B1099" s="198">
        <f>B238</f>
        <v>0.60695545900194237</v>
      </c>
      <c r="C1099" s="198">
        <f>C238</f>
        <v>-0.5613011256267133</v>
      </c>
      <c r="D1099" s="183">
        <f>INPUT!BA67</f>
        <v>1349.6250153914068</v>
      </c>
      <c r="E1099" s="195" t="str">
        <f>IF(2*D1099/COS(ATAN(G158))/L401&lt;=5.7*SQRT(INPUT!$B$2/D801),"C","S")</f>
        <v>S</v>
      </c>
      <c r="F1099" s="180">
        <f>INPUT!AN67</f>
        <v>700</v>
      </c>
      <c r="G1099" s="184">
        <f>G561</f>
        <v>2800</v>
      </c>
      <c r="H1099" s="131">
        <f>IF(OR(B1099=0,C1099=0),0,IF(B1099&lt;=0,C1099/B1099,B1099/C1099))</f>
        <v>-1.0813366146812093</v>
      </c>
      <c r="I1099" s="131">
        <f>IF(INPUT!AB67=0,9/(D1099/G1099)^2,IF(INPUT!AB67=0=1,IF(AND(B1099&lt;=0,C1099&lt;=0),7.2,IF(F1099/D1099&gt;=0.4,MAX(5.17/(F1099/G1099)^2,9/(D1099/G1099)^2),11.64/((D1099-F1099)/G1099)^2)),IF(H1099&gt;=-1,247.8*((F1099/D1099)^1.8)*(1-H1099)^2.7,247.8*(1-H1099)^0.32)))</f>
        <v>313.30753940804465</v>
      </c>
      <c r="J1099" s="131">
        <f>MIN(0.9*INPUT!$B$2*I1099/(G1099/COS(ATAN(G158))/L401)^2,N401*D801,INPUT!AQ67/0.7)</f>
        <v>0</v>
      </c>
      <c r="K1099" s="201" t="str">
        <f>IF(OR(E1099="C",B1099&gt;=0),"-",IF(ABS(B1099)&lt;=J1099,"OK","NG"))</f>
        <v>-</v>
      </c>
      <c r="L1099" s="200" t="str">
        <f>IF(OR(E1099="C",B1099&gt;=0),"-",J1099/ABS(B1099))</f>
        <v>-</v>
      </c>
      <c r="M1099" s="201" t="str">
        <f>IF(OR(E1099="C",C1099&gt;=0),"-",IF(ABS(C1099)&lt;=J1099,"OK","NG"))</f>
        <v>NG</v>
      </c>
      <c r="N1099" s="203">
        <f>IF(OR(E1099="C",C1099&gt;=0),"-",J1099/ABS(C1099))</f>
        <v>0</v>
      </c>
    </row>
    <row r="1100">
      <c r="A1100" s="182">
        <f>A971</f>
        <v>101</v>
      </c>
      <c r="B1100" s="198">
        <f>B239</f>
        <v>0.60695545900194237</v>
      </c>
      <c r="C1100" s="198">
        <f>C239</f>
        <v>-0.5613011256267133</v>
      </c>
      <c r="D1100" s="183">
        <f>INPUT!BA68</f>
        <v>1349.6250153914068</v>
      </c>
      <c r="E1100" s="195" t="str">
        <f>IF(2*D1100/COS(ATAN(G159))/L402&lt;=5.7*SQRT(INPUT!$B$2/D802),"C","S")</f>
        <v>S</v>
      </c>
      <c r="F1100" s="180">
        <f>INPUT!AN68</f>
        <v>700</v>
      </c>
      <c r="G1100" s="184">
        <f>G562</f>
        <v>2800</v>
      </c>
      <c r="H1100" s="131">
        <f>IF(OR(B1100=0,C1100=0),0,IF(B1100&lt;=0,C1100/B1100,B1100/C1100))</f>
        <v>-1.0813366146812093</v>
      </c>
      <c r="I1100" s="131">
        <f>IF(INPUT!AB68=0,9/(D1100/G1100)^2,IF(INPUT!AB68=0=1,IF(AND(B1100&lt;=0,C1100&lt;=0),7.2,IF(F1100/D1100&gt;=0.4,MAX(5.17/(F1100/G1100)^2,9/(D1100/G1100)^2),11.64/((D1100-F1100)/G1100)^2)),IF(H1100&gt;=-1,247.8*((F1100/D1100)^1.8)*(1-H1100)^2.7,247.8*(1-H1100)^0.32)))</f>
        <v>313.30753940804465</v>
      </c>
      <c r="J1100" s="131">
        <f>MIN(0.9*INPUT!$B$2*I1100/(G1100/COS(ATAN(G159))/L402)^2,N402*D802,INPUT!AQ68/0.7)</f>
        <v>0</v>
      </c>
      <c r="K1100" s="201" t="str">
        <f>IF(OR(E1100="C",B1100&gt;=0),"-",IF(ABS(B1100)&lt;=J1100,"OK","NG"))</f>
        <v>-</v>
      </c>
      <c r="L1100" s="200" t="str">
        <f>IF(OR(E1100="C",B1100&gt;=0),"-",J1100/ABS(B1100))</f>
        <v>-</v>
      </c>
      <c r="M1100" s="201" t="str">
        <f>IF(OR(E1100="C",C1100&gt;=0),"-",IF(ABS(C1100)&lt;=J1100,"OK","NG"))</f>
        <v>NG</v>
      </c>
      <c r="N1100" s="203">
        <f>IF(OR(E1100="C",C1100&gt;=0),"-",J1100/ABS(C1100))</f>
        <v>0</v>
      </c>
    </row>
    <row r="1101">
      <c r="A1101" s="182">
        <f>A972</f>
        <v>101</v>
      </c>
      <c r="B1101" s="198">
        <f>B240</f>
        <v>0.60695545900194237</v>
      </c>
      <c r="C1101" s="198">
        <f>C240</f>
        <v>-0.5613011256267133</v>
      </c>
      <c r="D1101" s="183">
        <f>INPUT!BA69</f>
        <v>1349.6250153914068</v>
      </c>
      <c r="E1101" s="195" t="str">
        <f>IF(2*D1101/COS(ATAN(G160))/L403&lt;=5.7*SQRT(INPUT!$B$2/D803),"C","S")</f>
        <v>S</v>
      </c>
      <c r="F1101" s="180">
        <f>INPUT!AN69</f>
        <v>700</v>
      </c>
      <c r="G1101" s="184">
        <f>G563</f>
        <v>2800</v>
      </c>
      <c r="H1101" s="131">
        <f>IF(OR(B1101=0,C1101=0),0,IF(B1101&lt;=0,C1101/B1101,B1101/C1101))</f>
        <v>-1.0813366146812093</v>
      </c>
      <c r="I1101" s="131">
        <f>IF(INPUT!AB69=0,9/(D1101/G1101)^2,IF(INPUT!AB69=0=1,IF(AND(B1101&lt;=0,C1101&lt;=0),7.2,IF(F1101/D1101&gt;=0.4,MAX(5.17/(F1101/G1101)^2,9/(D1101/G1101)^2),11.64/((D1101-F1101)/G1101)^2)),IF(H1101&gt;=-1,247.8*((F1101/D1101)^1.8)*(1-H1101)^2.7,247.8*(1-H1101)^0.32)))</f>
        <v>313.30753940804465</v>
      </c>
      <c r="J1101" s="131">
        <f>MIN(0.9*INPUT!$B$2*I1101/(G1101/COS(ATAN(G160))/L403)^2,N403*D803,INPUT!AQ69/0.7)</f>
        <v>0</v>
      </c>
      <c r="K1101" s="201" t="str">
        <f>IF(OR(E1101="C",B1101&gt;=0),"-",IF(ABS(B1101)&lt;=J1101,"OK","NG"))</f>
        <v>-</v>
      </c>
      <c r="L1101" s="200" t="str">
        <f>IF(OR(E1101="C",B1101&gt;=0),"-",J1101/ABS(B1101))</f>
        <v>-</v>
      </c>
      <c r="M1101" s="201" t="str">
        <f>IF(OR(E1101="C",C1101&gt;=0),"-",IF(ABS(C1101)&lt;=J1101,"OK","NG"))</f>
        <v>NG</v>
      </c>
      <c r="N1101" s="203">
        <f>IF(OR(E1101="C",C1101&gt;=0),"-",J1101/ABS(C1101))</f>
        <v>0</v>
      </c>
    </row>
    <row r="1102">
      <c r="A1102" s="182">
        <f>A973</f>
        <v>101</v>
      </c>
      <c r="B1102" s="198">
        <f>B241</f>
        <v>0.60695545900194237</v>
      </c>
      <c r="C1102" s="198">
        <f>C241</f>
        <v>-0.5613011256267133</v>
      </c>
      <c r="D1102" s="183">
        <f>INPUT!BA70</f>
        <v>1349.6250153914068</v>
      </c>
      <c r="E1102" s="195" t="str">
        <f>IF(2*D1102/COS(ATAN(G161))/L404&lt;=5.7*SQRT(INPUT!$B$2/D804),"C","S")</f>
        <v>S</v>
      </c>
      <c r="F1102" s="180">
        <f>INPUT!AN70</f>
        <v>700</v>
      </c>
      <c r="G1102" s="184">
        <f>G564</f>
        <v>2800</v>
      </c>
      <c r="H1102" s="131">
        <f>IF(OR(B1102=0,C1102=0),0,IF(B1102&lt;=0,C1102/B1102,B1102/C1102))</f>
        <v>-1.0813366146812093</v>
      </c>
      <c r="I1102" s="131">
        <f>IF(INPUT!AB70=0,9/(D1102/G1102)^2,IF(INPUT!AB70=0=1,IF(AND(B1102&lt;=0,C1102&lt;=0),7.2,IF(F1102/D1102&gt;=0.4,MAX(5.17/(F1102/G1102)^2,9/(D1102/G1102)^2),11.64/((D1102-F1102)/G1102)^2)),IF(H1102&gt;=-1,247.8*((F1102/D1102)^1.8)*(1-H1102)^2.7,247.8*(1-H1102)^0.32)))</f>
        <v>313.30753940804465</v>
      </c>
      <c r="J1102" s="131">
        <f>MIN(0.9*INPUT!$B$2*I1102/(G1102/COS(ATAN(G161))/L404)^2,N404*D804,INPUT!AQ70/0.7)</f>
        <v>0</v>
      </c>
      <c r="K1102" s="201" t="str">
        <f>IF(OR(E1102="C",B1102&gt;=0),"-",IF(ABS(B1102)&lt;=J1102,"OK","NG"))</f>
        <v>-</v>
      </c>
      <c r="L1102" s="200" t="str">
        <f>IF(OR(E1102="C",B1102&gt;=0),"-",J1102/ABS(B1102))</f>
        <v>-</v>
      </c>
      <c r="M1102" s="201" t="str">
        <f>IF(OR(E1102="C",C1102&gt;=0),"-",IF(ABS(C1102)&lt;=J1102,"OK","NG"))</f>
        <v>NG</v>
      </c>
      <c r="N1102" s="203">
        <f>IF(OR(E1102="C",C1102&gt;=0),"-",J1102/ABS(C1102))</f>
        <v>0</v>
      </c>
    </row>
    <row r="1103">
      <c r="A1103" s="182">
        <f>A974</f>
        <v>101</v>
      </c>
      <c r="B1103" s="198">
        <f>B242</f>
        <v>0.60695545900194237</v>
      </c>
      <c r="C1103" s="198">
        <f>C242</f>
        <v>-0.5613011256267133</v>
      </c>
      <c r="D1103" s="183">
        <f>INPUT!BA71</f>
        <v>1349.6250153914068</v>
      </c>
      <c r="E1103" s="195" t="str">
        <f>IF(2*D1103/COS(ATAN(G162))/L405&lt;=5.7*SQRT(INPUT!$B$2/D805),"C","S")</f>
        <v>S</v>
      </c>
      <c r="F1103" s="180">
        <f>INPUT!AN71</f>
        <v>700</v>
      </c>
      <c r="G1103" s="184">
        <f>G565</f>
        <v>2800</v>
      </c>
      <c r="H1103" s="131">
        <f>IF(OR(B1103=0,C1103=0),0,IF(B1103&lt;=0,C1103/B1103,B1103/C1103))</f>
        <v>-1.0813366146812093</v>
      </c>
      <c r="I1103" s="131">
        <f>IF(INPUT!AB71=0,9/(D1103/G1103)^2,IF(INPUT!AB71=0=1,IF(AND(B1103&lt;=0,C1103&lt;=0),7.2,IF(F1103/D1103&gt;=0.4,MAX(5.17/(F1103/G1103)^2,9/(D1103/G1103)^2),11.64/((D1103-F1103)/G1103)^2)),IF(H1103&gt;=-1,247.8*((F1103/D1103)^1.8)*(1-H1103)^2.7,247.8*(1-H1103)^0.32)))</f>
        <v>313.30753940804465</v>
      </c>
      <c r="J1103" s="131">
        <f>MIN(0.9*INPUT!$B$2*I1103/(G1103/COS(ATAN(G162))/L405)^2,N405*D805,INPUT!AQ71/0.7)</f>
        <v>0</v>
      </c>
      <c r="K1103" s="201" t="str">
        <f>IF(OR(E1103="C",B1103&gt;=0),"-",IF(ABS(B1103)&lt;=J1103,"OK","NG"))</f>
        <v>-</v>
      </c>
      <c r="L1103" s="200" t="str">
        <f>IF(OR(E1103="C",B1103&gt;=0),"-",J1103/ABS(B1103))</f>
        <v>-</v>
      </c>
      <c r="M1103" s="201" t="str">
        <f>IF(OR(E1103="C",C1103&gt;=0),"-",IF(ABS(C1103)&lt;=J1103,"OK","NG"))</f>
        <v>NG</v>
      </c>
      <c r="N1103" s="203">
        <f>IF(OR(E1103="C",C1103&gt;=0),"-",J1103/ABS(C1103))</f>
        <v>0</v>
      </c>
    </row>
    <row r="1104">
      <c r="A1104" s="182">
        <f>A975</f>
        <v>101</v>
      </c>
      <c r="B1104" s="198">
        <f>B243</f>
        <v>0.60695545900194237</v>
      </c>
      <c r="C1104" s="198">
        <f>C243</f>
        <v>-0.5613011256267133</v>
      </c>
      <c r="D1104" s="183">
        <f>INPUT!BA72</f>
        <v>1349.6250153914068</v>
      </c>
      <c r="E1104" s="195" t="str">
        <f>IF(2*D1104/COS(ATAN(G163))/L406&lt;=5.7*SQRT(INPUT!$B$2/D806),"C","S")</f>
        <v>S</v>
      </c>
      <c r="F1104" s="180">
        <f>INPUT!AN72</f>
        <v>700</v>
      </c>
      <c r="G1104" s="184">
        <f>G566</f>
        <v>2800</v>
      </c>
      <c r="H1104" s="131">
        <f>IF(OR(B1104=0,C1104=0),0,IF(B1104&lt;=0,C1104/B1104,B1104/C1104))</f>
        <v>-1.0813366146812093</v>
      </c>
      <c r="I1104" s="131">
        <f>IF(INPUT!AB72=0,9/(D1104/G1104)^2,IF(INPUT!AB72=0=1,IF(AND(B1104&lt;=0,C1104&lt;=0),7.2,IF(F1104/D1104&gt;=0.4,MAX(5.17/(F1104/G1104)^2,9/(D1104/G1104)^2),11.64/((D1104-F1104)/G1104)^2)),IF(H1104&gt;=-1,247.8*((F1104/D1104)^1.8)*(1-H1104)^2.7,247.8*(1-H1104)^0.32)))</f>
        <v>313.30753940804465</v>
      </c>
      <c r="J1104" s="131">
        <f>MIN(0.9*INPUT!$B$2*I1104/(G1104/COS(ATAN(G163))/L406)^2,N406*D806,INPUT!AQ72/0.7)</f>
        <v>0</v>
      </c>
      <c r="K1104" s="201" t="str">
        <f>IF(OR(E1104="C",B1104&gt;=0),"-",IF(ABS(B1104)&lt;=J1104,"OK","NG"))</f>
        <v>-</v>
      </c>
      <c r="L1104" s="200" t="str">
        <f>IF(OR(E1104="C",B1104&gt;=0),"-",J1104/ABS(B1104))</f>
        <v>-</v>
      </c>
      <c r="M1104" s="201" t="str">
        <f>IF(OR(E1104="C",C1104&gt;=0),"-",IF(ABS(C1104)&lt;=J1104,"OK","NG"))</f>
        <v>NG</v>
      </c>
      <c r="N1104" s="203">
        <f>IF(OR(E1104="C",C1104&gt;=0),"-",J1104/ABS(C1104))</f>
        <v>0</v>
      </c>
    </row>
    <row r="1105">
      <c r="A1105" s="182">
        <f>A976</f>
        <v>101</v>
      </c>
      <c r="B1105" s="198">
        <f>B244</f>
        <v>0.60695545900194237</v>
      </c>
      <c r="C1105" s="198">
        <f>C244</f>
        <v>-0.5613011256267133</v>
      </c>
      <c r="D1105" s="183">
        <f>INPUT!BA73</f>
        <v>1349.6250153914068</v>
      </c>
      <c r="E1105" s="195" t="str">
        <f>IF(2*D1105/COS(ATAN(G164))/L407&lt;=5.7*SQRT(INPUT!$B$2/D807),"C","S")</f>
        <v>S</v>
      </c>
      <c r="F1105" s="180">
        <f>INPUT!AN73</f>
        <v>700</v>
      </c>
      <c r="G1105" s="184">
        <f>G567</f>
        <v>2800</v>
      </c>
      <c r="H1105" s="131">
        <f>IF(OR(B1105=0,C1105=0),0,IF(B1105&lt;=0,C1105/B1105,B1105/C1105))</f>
        <v>-1.0813366146812093</v>
      </c>
      <c r="I1105" s="131">
        <f>IF(INPUT!AB73=0,9/(D1105/G1105)^2,IF(INPUT!AB73=0=1,IF(AND(B1105&lt;=0,C1105&lt;=0),7.2,IF(F1105/D1105&gt;=0.4,MAX(5.17/(F1105/G1105)^2,9/(D1105/G1105)^2),11.64/((D1105-F1105)/G1105)^2)),IF(H1105&gt;=-1,247.8*((F1105/D1105)^1.8)*(1-H1105)^2.7,247.8*(1-H1105)^0.32)))</f>
        <v>313.30753940804465</v>
      </c>
      <c r="J1105" s="131">
        <f>MIN(0.9*INPUT!$B$2*I1105/(G1105/COS(ATAN(G164))/L407)^2,N407*D807,INPUT!AQ73/0.7)</f>
        <v>0</v>
      </c>
      <c r="K1105" s="201" t="str">
        <f>IF(OR(E1105="C",B1105&gt;=0),"-",IF(ABS(B1105)&lt;=J1105,"OK","NG"))</f>
        <v>-</v>
      </c>
      <c r="L1105" s="200" t="str">
        <f>IF(OR(E1105="C",B1105&gt;=0),"-",J1105/ABS(B1105))</f>
        <v>-</v>
      </c>
      <c r="M1105" s="201" t="str">
        <f>IF(OR(E1105="C",C1105&gt;=0),"-",IF(ABS(C1105)&lt;=J1105,"OK","NG"))</f>
        <v>NG</v>
      </c>
      <c r="N1105" s="203">
        <f>IF(OR(E1105="C",C1105&gt;=0),"-",J1105/ABS(C1105))</f>
        <v>0</v>
      </c>
    </row>
    <row r="1106">
      <c r="A1106" s="182">
        <f>A977</f>
        <v>101</v>
      </c>
      <c r="B1106" s="198">
        <f>B245</f>
        <v>0.60695545900194237</v>
      </c>
      <c r="C1106" s="198">
        <f>C245</f>
        <v>-0.5613011256267133</v>
      </c>
      <c r="D1106" s="183">
        <f>INPUT!BA74</f>
        <v>1349.6250153914068</v>
      </c>
      <c r="E1106" s="195" t="str">
        <f>IF(2*D1106/COS(ATAN(G165))/L408&lt;=5.7*SQRT(INPUT!$B$2/D808),"C","S")</f>
        <v>S</v>
      </c>
      <c r="F1106" s="180">
        <f>INPUT!AN74</f>
        <v>700</v>
      </c>
      <c r="G1106" s="184">
        <f>G568</f>
        <v>2800</v>
      </c>
      <c r="H1106" s="131">
        <f>IF(OR(B1106=0,C1106=0),0,IF(B1106&lt;=0,C1106/B1106,B1106/C1106))</f>
        <v>-1.0813366146812093</v>
      </c>
      <c r="I1106" s="131">
        <f>IF(INPUT!AB74=0,9/(D1106/G1106)^2,IF(INPUT!AB74=0=1,IF(AND(B1106&lt;=0,C1106&lt;=0),7.2,IF(F1106/D1106&gt;=0.4,MAX(5.17/(F1106/G1106)^2,9/(D1106/G1106)^2),11.64/((D1106-F1106)/G1106)^2)),IF(H1106&gt;=-1,247.8*((F1106/D1106)^1.8)*(1-H1106)^2.7,247.8*(1-H1106)^0.32)))</f>
        <v>313.30753940804465</v>
      </c>
      <c r="J1106" s="131">
        <f>MIN(0.9*INPUT!$B$2*I1106/(G1106/COS(ATAN(G165))/L408)^2,N408*D808,INPUT!AQ74/0.7)</f>
        <v>0</v>
      </c>
      <c r="K1106" s="201" t="str">
        <f>IF(OR(E1106="C",B1106&gt;=0),"-",IF(ABS(B1106)&lt;=J1106,"OK","NG"))</f>
        <v>-</v>
      </c>
      <c r="L1106" s="200" t="str">
        <f>IF(OR(E1106="C",B1106&gt;=0),"-",J1106/ABS(B1106))</f>
        <v>-</v>
      </c>
      <c r="M1106" s="201" t="str">
        <f>IF(OR(E1106="C",C1106&gt;=0),"-",IF(ABS(C1106)&lt;=J1106,"OK","NG"))</f>
        <v>NG</v>
      </c>
      <c r="N1106" s="203">
        <f>IF(OR(E1106="C",C1106&gt;=0),"-",J1106/ABS(C1106))</f>
        <v>0</v>
      </c>
    </row>
    <row r="1107">
      <c r="A1107" s="182">
        <f>A978</f>
        <v>101</v>
      </c>
      <c r="B1107" s="198">
        <f>B246</f>
        <v>0.60695545900194237</v>
      </c>
      <c r="C1107" s="198">
        <f>C246</f>
        <v>-0.5613011256267133</v>
      </c>
      <c r="D1107" s="183">
        <f>INPUT!BA75</f>
        <v>1349.6250153914068</v>
      </c>
      <c r="E1107" s="195" t="str">
        <f>IF(2*D1107/COS(ATAN(G166))/L409&lt;=5.7*SQRT(INPUT!$B$2/D809),"C","S")</f>
        <v>S</v>
      </c>
      <c r="F1107" s="180">
        <f>INPUT!AN75</f>
        <v>700</v>
      </c>
      <c r="G1107" s="184">
        <f>G569</f>
        <v>2800</v>
      </c>
      <c r="H1107" s="131">
        <f>IF(OR(B1107=0,C1107=0),0,IF(B1107&lt;=0,C1107/B1107,B1107/C1107))</f>
        <v>-1.0813366146812093</v>
      </c>
      <c r="I1107" s="131">
        <f>IF(INPUT!AB75=0,9/(D1107/G1107)^2,IF(INPUT!AB75=0=1,IF(AND(B1107&lt;=0,C1107&lt;=0),7.2,IF(F1107/D1107&gt;=0.4,MAX(5.17/(F1107/G1107)^2,9/(D1107/G1107)^2),11.64/((D1107-F1107)/G1107)^2)),IF(H1107&gt;=-1,247.8*((F1107/D1107)^1.8)*(1-H1107)^2.7,247.8*(1-H1107)^0.32)))</f>
        <v>313.30753940804465</v>
      </c>
      <c r="J1107" s="131">
        <f>MIN(0.9*INPUT!$B$2*I1107/(G1107/COS(ATAN(G166))/L409)^2,N409*D809,INPUT!AQ75/0.7)</f>
        <v>0</v>
      </c>
      <c r="K1107" s="201" t="str">
        <f>IF(OR(E1107="C",B1107&gt;=0),"-",IF(ABS(B1107)&lt;=J1107,"OK","NG"))</f>
        <v>-</v>
      </c>
      <c r="L1107" s="200" t="str">
        <f>IF(OR(E1107="C",B1107&gt;=0),"-",J1107/ABS(B1107))</f>
        <v>-</v>
      </c>
      <c r="M1107" s="201" t="str">
        <f>IF(OR(E1107="C",C1107&gt;=0),"-",IF(ABS(C1107)&lt;=J1107,"OK","NG"))</f>
        <v>NG</v>
      </c>
      <c r="N1107" s="203">
        <f>IF(OR(E1107="C",C1107&gt;=0),"-",J1107/ABS(C1107))</f>
        <v>0</v>
      </c>
    </row>
    <row r="1108">
      <c r="A1108" s="182">
        <f>A979</f>
        <v>101</v>
      </c>
      <c r="B1108" s="198">
        <f>B247</f>
        <v>0.60695545900194237</v>
      </c>
      <c r="C1108" s="198">
        <f>C247</f>
        <v>-0.5613011256267133</v>
      </c>
      <c r="D1108" s="183">
        <f>INPUT!BA76</f>
        <v>1349.6250153914068</v>
      </c>
      <c r="E1108" s="195" t="str">
        <f>IF(2*D1108/COS(ATAN(G167))/L410&lt;=5.7*SQRT(INPUT!$B$2/D810),"C","S")</f>
        <v>S</v>
      </c>
      <c r="F1108" s="180">
        <f>INPUT!AN76</f>
        <v>700</v>
      </c>
      <c r="G1108" s="184">
        <f>G570</f>
        <v>2800</v>
      </c>
      <c r="H1108" s="131">
        <f>IF(OR(B1108=0,C1108=0),0,IF(B1108&lt;=0,C1108/B1108,B1108/C1108))</f>
        <v>-1.0813366146812093</v>
      </c>
      <c r="I1108" s="131">
        <f>IF(INPUT!AB76=0,9/(D1108/G1108)^2,IF(INPUT!AB76=0=1,IF(AND(B1108&lt;=0,C1108&lt;=0),7.2,IF(F1108/D1108&gt;=0.4,MAX(5.17/(F1108/G1108)^2,9/(D1108/G1108)^2),11.64/((D1108-F1108)/G1108)^2)),IF(H1108&gt;=-1,247.8*((F1108/D1108)^1.8)*(1-H1108)^2.7,247.8*(1-H1108)^0.32)))</f>
        <v>313.30753940804465</v>
      </c>
      <c r="J1108" s="131">
        <f>MIN(0.9*INPUT!$B$2*I1108/(G1108/COS(ATAN(G167))/L410)^2,N410*D810,INPUT!AQ76/0.7)</f>
        <v>0</v>
      </c>
      <c r="K1108" s="201" t="str">
        <f>IF(OR(E1108="C",B1108&gt;=0),"-",IF(ABS(B1108)&lt;=J1108,"OK","NG"))</f>
        <v>-</v>
      </c>
      <c r="L1108" s="200" t="str">
        <f>IF(OR(E1108="C",B1108&gt;=0),"-",J1108/ABS(B1108))</f>
        <v>-</v>
      </c>
      <c r="M1108" s="201" t="str">
        <f>IF(OR(E1108="C",C1108&gt;=0),"-",IF(ABS(C1108)&lt;=J1108,"OK","NG"))</f>
        <v>NG</v>
      </c>
      <c r="N1108" s="203">
        <f>IF(OR(E1108="C",C1108&gt;=0),"-",J1108/ABS(C1108))</f>
        <v>0</v>
      </c>
    </row>
    <row r="1109">
      <c r="A1109" s="182">
        <f>A980</f>
        <v>101</v>
      </c>
      <c r="B1109" s="198">
        <f>B248</f>
        <v>0.60695545900194237</v>
      </c>
      <c r="C1109" s="198">
        <f>C248</f>
        <v>-0.5613011256267133</v>
      </c>
      <c r="D1109" s="183">
        <f>INPUT!BA77</f>
        <v>1349.6250153914068</v>
      </c>
      <c r="E1109" s="195" t="str">
        <f>IF(2*D1109/COS(ATAN(G168))/L411&lt;=5.7*SQRT(INPUT!$B$2/D811),"C","S")</f>
        <v>S</v>
      </c>
      <c r="F1109" s="180">
        <f>INPUT!AN77</f>
        <v>700</v>
      </c>
      <c r="G1109" s="184">
        <f>G571</f>
        <v>2800</v>
      </c>
      <c r="H1109" s="131">
        <f>IF(OR(B1109=0,C1109=0),0,IF(B1109&lt;=0,C1109/B1109,B1109/C1109))</f>
        <v>-1.0813366146812093</v>
      </c>
      <c r="I1109" s="131">
        <f>IF(INPUT!AB77=0,9/(D1109/G1109)^2,IF(INPUT!AB77=0=1,IF(AND(B1109&lt;=0,C1109&lt;=0),7.2,IF(F1109/D1109&gt;=0.4,MAX(5.17/(F1109/G1109)^2,9/(D1109/G1109)^2),11.64/((D1109-F1109)/G1109)^2)),IF(H1109&gt;=-1,247.8*((F1109/D1109)^1.8)*(1-H1109)^2.7,247.8*(1-H1109)^0.32)))</f>
        <v>313.30753940804465</v>
      </c>
      <c r="J1109" s="131">
        <f>MIN(0.9*INPUT!$B$2*I1109/(G1109/COS(ATAN(G168))/L411)^2,N411*D811,INPUT!AQ77/0.7)</f>
        <v>0</v>
      </c>
      <c r="K1109" s="201" t="str">
        <f>IF(OR(E1109="C",B1109&gt;=0),"-",IF(ABS(B1109)&lt;=J1109,"OK","NG"))</f>
        <v>-</v>
      </c>
      <c r="L1109" s="200" t="str">
        <f>IF(OR(E1109="C",B1109&gt;=0),"-",J1109/ABS(B1109))</f>
        <v>-</v>
      </c>
      <c r="M1109" s="201" t="str">
        <f>IF(OR(E1109="C",C1109&gt;=0),"-",IF(ABS(C1109)&lt;=J1109,"OK","NG"))</f>
        <v>NG</v>
      </c>
      <c r="N1109" s="203">
        <f>IF(OR(E1109="C",C1109&gt;=0),"-",J1109/ABS(C1109))</f>
        <v>0</v>
      </c>
    </row>
    <row r="1110">
      <c r="A1110" s="182">
        <f>A981</f>
        <v>101</v>
      </c>
      <c r="B1110" s="198">
        <f>B249</f>
        <v>0.60695545900194237</v>
      </c>
      <c r="C1110" s="198">
        <f>C249</f>
        <v>-0.5613011256267133</v>
      </c>
      <c r="D1110" s="183">
        <f>INPUT!BA78</f>
        <v>1349.6250153914068</v>
      </c>
      <c r="E1110" s="195" t="str">
        <f>IF(2*D1110/COS(ATAN(G169))/L412&lt;=5.7*SQRT(INPUT!$B$2/D812),"C","S")</f>
        <v>S</v>
      </c>
      <c r="F1110" s="180">
        <f>INPUT!AN78</f>
        <v>700</v>
      </c>
      <c r="G1110" s="184">
        <f>G572</f>
        <v>2800</v>
      </c>
      <c r="H1110" s="131">
        <f>IF(OR(B1110=0,C1110=0),0,IF(B1110&lt;=0,C1110/B1110,B1110/C1110))</f>
        <v>-1.0813366146812093</v>
      </c>
      <c r="I1110" s="131">
        <f>IF(INPUT!AB78=0,9/(D1110/G1110)^2,IF(INPUT!AB78=0=1,IF(AND(B1110&lt;=0,C1110&lt;=0),7.2,IF(F1110/D1110&gt;=0.4,MAX(5.17/(F1110/G1110)^2,9/(D1110/G1110)^2),11.64/((D1110-F1110)/G1110)^2)),IF(H1110&gt;=-1,247.8*((F1110/D1110)^1.8)*(1-H1110)^2.7,247.8*(1-H1110)^0.32)))</f>
        <v>313.30753940804465</v>
      </c>
      <c r="J1110" s="131">
        <f>MIN(0.9*INPUT!$B$2*I1110/(G1110/COS(ATAN(G169))/L412)^2,N412*D812,INPUT!AQ78/0.7)</f>
        <v>0</v>
      </c>
      <c r="K1110" s="201" t="str">
        <f>IF(OR(E1110="C",B1110&gt;=0),"-",IF(ABS(B1110)&lt;=J1110,"OK","NG"))</f>
        <v>-</v>
      </c>
      <c r="L1110" s="200" t="str">
        <f>IF(OR(E1110="C",B1110&gt;=0),"-",J1110/ABS(B1110))</f>
        <v>-</v>
      </c>
      <c r="M1110" s="201" t="str">
        <f>IF(OR(E1110="C",C1110&gt;=0),"-",IF(ABS(C1110)&lt;=J1110,"OK","NG"))</f>
        <v>NG</v>
      </c>
      <c r="N1110" s="203">
        <f>IF(OR(E1110="C",C1110&gt;=0),"-",J1110/ABS(C1110))</f>
        <v>0</v>
      </c>
    </row>
    <row r="1112"/>
    <row r="1113" ht="15" customHeight="1">
      <c r="A1113" s="39" t="s">
        <v>501</v>
      </c>
    </row>
    <row r="1114" ht="15" customHeight="1">
      <c r="A1114" s="39"/>
    </row>
    <row r="1115" ht="20.1" customHeight="1">
      <c r="A1115" s="40"/>
      <c r="B1115" s="19"/>
      <c r="C1115" s="41"/>
      <c r="D1115" s="42"/>
      <c r="E1115" s="43" t="s">
        <v>502</v>
      </c>
      <c r="F1115" s="42"/>
      <c r="G1115" s="44"/>
      <c r="H1115" s="45"/>
      <c r="I1115" s="4"/>
      <c r="J1115" s="4"/>
      <c r="K1115" s="4"/>
      <c r="L1115" s="5"/>
      <c r="M1115" s="4"/>
      <c r="N1115" s="68" t="s">
        <v>503</v>
      </c>
    </row>
    <row r="1116" ht="15" customHeight="1">
      <c r="A1116" s="4"/>
      <c r="B1116" s="4"/>
      <c r="C1116" s="19"/>
      <c r="D1116" s="4"/>
      <c r="E1116" s="4"/>
      <c r="F1116" s="4"/>
      <c r="G1116" s="38"/>
      <c r="H1116" s="4"/>
      <c r="I1116" s="4"/>
      <c r="J1116" s="4"/>
      <c r="K1116" s="4"/>
      <c r="L1116" s="5"/>
      <c r="M1116" s="4"/>
      <c r="N1116" s="4"/>
      <c r="O1116" s="296"/>
    </row>
    <row r="1117" ht="15" customHeight="1">
      <c r="A1117" s="11"/>
      <c r="B1117" s="4" t="s">
        <v>171</v>
      </c>
      <c r="C1117" s="4"/>
      <c r="D1117" s="4"/>
      <c r="E1117" s="4"/>
      <c r="F1117" s="4"/>
      <c r="G1117" s="38"/>
      <c r="H1117" s="4"/>
      <c r="I1117" s="4"/>
      <c r="J1117" s="4"/>
      <c r="K1117" s="4"/>
      <c r="L1117" s="5"/>
      <c r="M1117" s="4"/>
      <c r="N1117" s="4"/>
      <c r="O1117" s="296"/>
    </row>
    <row r="1118" ht="15" customHeight="1">
      <c r="A1118" s="11"/>
      <c r="B1118" s="111" t="s">
        <v>197</v>
      </c>
      <c r="C1118" s="4" t="s">
        <v>504</v>
      </c>
      <c r="D1118" s="4"/>
      <c r="E1118" s="4"/>
      <c r="F1118" s="4"/>
      <c r="G1118" s="38"/>
      <c r="H1118" s="4"/>
      <c r="I1118" s="4"/>
      <c r="J1118" s="4"/>
      <c r="K1118" s="4"/>
      <c r="L1118" s="5"/>
      <c r="M1118" s="4"/>
      <c r="N1118" s="4"/>
      <c r="O1118" s="296"/>
    </row>
    <row r="1119" ht="15" customHeight="1">
      <c r="A1119" s="11"/>
      <c r="B1119" s="4"/>
      <c r="C1119" s="4" t="s">
        <v>505</v>
      </c>
      <c r="D1119" s="4"/>
      <c r="E1119" s="4"/>
      <c r="F1119" s="4"/>
      <c r="G1119" s="38"/>
      <c r="H1119" s="4"/>
      <c r="I1119" s="4"/>
      <c r="J1119" s="4"/>
      <c r="K1119" s="4"/>
      <c r="L1119" s="5"/>
      <c r="M1119" s="4"/>
      <c r="N1119" s="4"/>
      <c r="O1119" s="296"/>
    </row>
    <row r="1120" ht="15" customHeight="1">
      <c r="A1120" s="11"/>
      <c r="B1120" s="4"/>
      <c r="C1120" s="4" t="s">
        <v>506</v>
      </c>
      <c r="D1120" s="4"/>
      <c r="E1120" s="4"/>
      <c r="F1120" s="4"/>
      <c r="G1120" s="38"/>
      <c r="H1120" s="4"/>
      <c r="I1120" s="4"/>
      <c r="J1120" s="4"/>
      <c r="K1120" s="4"/>
      <c r="L1120" s="5"/>
      <c r="M1120" s="4"/>
      <c r="N1120" s="4"/>
      <c r="O1120" s="296"/>
    </row>
    <row r="1121" ht="15" customHeight="1">
      <c r="A1121" s="11"/>
      <c r="B1121" s="105"/>
      <c r="C1121" s="4"/>
      <c r="D1121" s="4"/>
      <c r="E1121" s="4"/>
      <c r="F1121" s="4"/>
      <c r="G1121" s="38"/>
      <c r="H1121" s="4"/>
      <c r="I1121" s="4"/>
      <c r="J1121" s="4"/>
      <c r="K1121" s="4"/>
      <c r="L1121" s="5"/>
      <c r="M1121" s="4"/>
      <c r="N1121" s="4"/>
      <c r="O1121" s="296"/>
    </row>
    <row r="1122" ht="15" customHeight="1">
      <c r="A1122" s="11"/>
      <c r="B1122" s="111" t="s">
        <v>197</v>
      </c>
      <c r="C1122" s="4" t="s">
        <v>507</v>
      </c>
      <c r="D1122" s="4"/>
      <c r="E1122" s="4"/>
      <c r="F1122" s="4"/>
      <c r="G1122" s="38"/>
      <c r="H1122" s="4"/>
      <c r="I1122" s="4"/>
      <c r="J1122" s="4"/>
      <c r="K1122" s="4"/>
      <c r="L1122" s="5"/>
      <c r="M1122" s="4"/>
      <c r="N1122" s="4"/>
      <c r="O1122" s="296"/>
    </row>
    <row r="1123" ht="15" customHeight="1">
      <c r="A1123" s="11"/>
      <c r="B1123" s="4"/>
      <c r="C1123" s="4" t="s">
        <v>508</v>
      </c>
      <c r="D1123" s="4"/>
      <c r="E1123" s="4"/>
      <c r="F1123" s="4"/>
      <c r="G1123" s="38"/>
      <c r="H1123" s="4"/>
      <c r="I1123" s="4"/>
      <c r="J1123" s="4"/>
      <c r="K1123" s="4"/>
      <c r="L1123" s="5"/>
      <c r="M1123" s="4"/>
      <c r="N1123" s="4"/>
      <c r="O1123" s="296"/>
    </row>
    <row r="1124" ht="15" customHeight="1">
      <c r="A1124" s="11"/>
      <c r="B1124" s="4"/>
      <c r="C1124" s="4"/>
      <c r="D1124" s="4"/>
      <c r="E1124" s="4"/>
      <c r="F1124" s="4"/>
      <c r="G1124" s="38"/>
      <c r="H1124" s="4"/>
      <c r="I1124" s="4"/>
      <c r="J1124" s="4"/>
      <c r="K1124" s="4"/>
      <c r="L1124" s="5"/>
      <c r="M1124" s="4"/>
      <c r="N1124" s="4"/>
      <c r="O1124" s="296"/>
    </row>
    <row r="1125" ht="15" customHeight="1">
      <c r="A1125" s="4"/>
      <c r="B1125" s="111" t="s">
        <v>197</v>
      </c>
      <c r="C1125" s="4" t="s">
        <v>509</v>
      </c>
      <c r="D1125" s="105"/>
      <c r="E1125" s="19"/>
      <c r="F1125" s="105"/>
      <c r="G1125" s="105"/>
      <c r="H1125" s="105"/>
      <c r="I1125" s="4"/>
      <c r="J1125" s="4"/>
      <c r="K1125" s="4"/>
      <c r="L1125" s="5"/>
      <c r="M1125" s="4"/>
      <c r="N1125" s="4"/>
      <c r="O1125" s="296"/>
    </row>
    <row r="1126" ht="20.1" customHeight="1">
      <c r="A1126" s="4"/>
      <c r="B1126" s="4"/>
      <c r="C1126" s="46" t="s">
        <v>163</v>
      </c>
      <c r="D1126" s="47"/>
      <c r="E1126" s="46"/>
      <c r="F1126" s="46"/>
      <c r="G1126" s="46"/>
      <c r="H1126" s="47"/>
      <c r="I1126" s="46" t="s">
        <v>510</v>
      </c>
      <c r="J1126" s="47"/>
      <c r="K1126" s="47"/>
      <c r="L1126" s="5"/>
      <c r="M1126" s="4"/>
      <c r="N1126" s="4"/>
      <c r="O1126" s="296"/>
    </row>
    <row r="1127" ht="20.1" customHeight="1">
      <c r="A1127" s="4"/>
      <c r="B1127" s="4"/>
      <c r="C1127" s="4" t="s">
        <v>511</v>
      </c>
      <c r="D1127" s="4"/>
      <c r="E1127" s="4"/>
      <c r="F1127" s="4"/>
      <c r="G1127" s="4"/>
      <c r="H1127" s="4"/>
      <c r="I1127" s="54">
        <v>1</v>
      </c>
      <c r="J1127" s="4"/>
      <c r="K1127" s="4"/>
      <c r="L1127" s="5"/>
      <c r="M1127" s="4"/>
      <c r="N1127" s="4"/>
      <c r="O1127" s="296"/>
    </row>
    <row r="1128" ht="20.1" customHeight="1">
      <c r="A1128" s="4"/>
      <c r="B1128" s="4"/>
      <c r="C1128" s="4" t="s">
        <v>512</v>
      </c>
      <c r="D1128" s="4"/>
      <c r="E1128" s="19"/>
      <c r="F1128" s="4"/>
      <c r="G1128" s="4"/>
      <c r="H1128" s="4"/>
      <c r="I1128" s="4" t="s">
        <v>513</v>
      </c>
      <c r="J1128" s="4"/>
      <c r="K1128" s="4"/>
      <c r="L1128" s="5"/>
      <c r="M1128" s="4"/>
      <c r="N1128" s="4"/>
      <c r="O1128" s="296"/>
    </row>
    <row r="1129" ht="20.1" customHeight="1">
      <c r="A1129" s="4"/>
      <c r="B1129" s="4"/>
      <c r="C1129" s="22" t="s">
        <v>514</v>
      </c>
      <c r="D1129" s="22"/>
      <c r="E1129" s="22"/>
      <c r="F1129" s="22"/>
      <c r="G1129" s="22"/>
      <c r="H1129" s="22"/>
      <c r="I1129" s="22" t="s">
        <v>515</v>
      </c>
      <c r="J1129" s="22"/>
      <c r="K1129" s="22"/>
      <c r="L1129" s="5"/>
      <c r="M1129" s="4"/>
      <c r="N1129" s="4"/>
      <c r="O1129" s="296"/>
    </row>
    <row r="1130" ht="15" customHeight="1">
      <c r="A1130" s="4"/>
      <c r="B1130" s="4"/>
      <c r="C1130" s="4" t="s">
        <v>516</v>
      </c>
      <c r="D1130" s="4"/>
      <c r="E1130" s="4"/>
      <c r="F1130" s="4"/>
      <c r="G1130" s="4"/>
      <c r="H1130" s="38"/>
      <c r="I1130" s="4"/>
      <c r="J1130" s="4"/>
      <c r="K1130" s="4"/>
      <c r="L1130" s="5"/>
      <c r="M1130" s="4"/>
      <c r="N1130" s="5"/>
      <c r="O1130" s="296"/>
    </row>
    <row r="1131" ht="15" customHeight="1">
      <c r="A1131" s="4"/>
      <c r="B1131" s="4"/>
      <c r="C1131" s="4" t="s">
        <v>517</v>
      </c>
      <c r="D1131" s="4"/>
      <c r="E1131" s="4"/>
      <c r="F1131" s="4"/>
      <c r="G1131" s="4"/>
      <c r="H1131" s="38"/>
      <c r="I1131" s="4"/>
      <c r="J1131" s="4"/>
      <c r="K1131" s="4"/>
      <c r="L1131" s="5"/>
      <c r="M1131" s="4"/>
      <c r="N1131" s="5"/>
      <c r="O1131" s="296"/>
    </row>
    <row r="1132" ht="15" customHeight="1">
      <c r="A1132" s="4"/>
      <c r="B1132" s="4"/>
      <c r="C1132" s="4"/>
      <c r="D1132" s="4"/>
      <c r="E1132" s="4"/>
      <c r="F1132" s="4"/>
      <c r="G1132" s="4"/>
      <c r="H1132" s="38"/>
      <c r="I1132" s="4"/>
      <c r="J1132" s="4"/>
      <c r="K1132" s="4"/>
      <c r="L1132" s="5"/>
      <c r="M1132" s="4"/>
      <c r="N1132" s="5"/>
      <c r="O1132" s="296"/>
    </row>
    <row r="1133" ht="15" customHeight="1">
      <c r="A1133" s="59" t="s">
        <v>518</v>
      </c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5"/>
      <c r="M1133" s="4"/>
      <c r="N1133" s="4"/>
      <c r="O1133" s="296"/>
    </row>
    <row r="1134" ht="15" customHeight="1">
      <c r="A1134" s="72" t="s">
        <v>230</v>
      </c>
      <c r="B1134" s="73" t="s">
        <v>519</v>
      </c>
      <c r="C1134" s="73" t="s">
        <v>520</v>
      </c>
      <c r="D1134" s="73" t="s">
        <v>521</v>
      </c>
      <c r="E1134" s="73" t="s">
        <v>522</v>
      </c>
      <c r="F1134" s="73" t="s">
        <v>334</v>
      </c>
      <c r="G1134" s="73" t="s">
        <v>523</v>
      </c>
      <c r="H1134" s="73" t="s">
        <v>353</v>
      </c>
      <c r="I1134" s="73" t="s">
        <v>510</v>
      </c>
      <c r="J1134" s="73" t="s">
        <v>524</v>
      </c>
      <c r="K1134" s="73" t="s">
        <v>525</v>
      </c>
      <c r="L1134" s="73" t="s">
        <v>246</v>
      </c>
      <c r="M1134" s="74" t="s">
        <v>247</v>
      </c>
      <c r="N1134" s="4"/>
      <c r="O1134" s="308"/>
    </row>
    <row r="1135" ht="15" customHeight="1">
      <c r="A1135" s="75"/>
      <c r="B1135" s="76"/>
      <c r="C1135" s="76"/>
      <c r="D1135" s="76"/>
      <c r="E1135" s="76"/>
      <c r="F1135" s="76"/>
      <c r="G1135" s="76"/>
      <c r="H1135" s="76"/>
      <c r="I1135" s="76"/>
      <c r="J1135" s="76"/>
      <c r="K1135" s="76"/>
      <c r="L1135" s="76"/>
      <c r="M1135" s="151"/>
      <c r="N1135" s="4"/>
      <c r="O1135" s="308"/>
    </row>
    <row r="1136" ht="15" customHeight="1">
      <c r="A1136" s="202">
        <f>A1035</f>
        <v>101</v>
      </c>
      <c r="B1136" s="183">
        <f>(INPUT!BB3+INPUT!BC3+INPUT!BD3)*1.25/2</f>
        <v>-1173.9349772229527</v>
      </c>
      <c r="C1136" s="131">
        <f>COS(ATAN(G94))</f>
        <v>0.992197667229329</v>
      </c>
      <c r="D1136" s="184">
        <f>B1136/C1136</f>
        <v>-1183.1664354756222</v>
      </c>
      <c r="E1136" s="183">
        <f>INPUT!AC3</f>
        <v>1587.5</v>
      </c>
      <c r="F1136" s="184">
        <f>5+5/(E1136/G1035)^2</f>
        <v>20.554591109182219</v>
      </c>
      <c r="G1136" s="184">
        <f>G1035/COS(ATAN(G94))</f>
        <v>2822.01832606489</v>
      </c>
      <c r="H1136" s="184">
        <f>L337</f>
        <v>12</v>
      </c>
      <c r="I1136" s="131">
        <f>IF(G1136/H1136&lt;=1.12*SQRT(INPUT!$B$2*F1136/INPUT!AQ3),1,IF(G1136/H1136&lt;=1.4*SQRT(INPUT!$B$2*F1136/INPUT!AQ3),1.12/(G1136/H1136)*SQRT(INPUT!$B$2*F1136/INPUT!AQ3),1.57*SQRT(INPUT!$B$2*F1136/INPUT!AQ3)^2/(G1136/H1136)^2))</f>
        <v>0</v>
      </c>
      <c r="J1136" s="481">
        <f>0.58*INPUT!AQ3*1000*G1136*H1136/10^6</f>
        <v>6972.6428800411295</v>
      </c>
      <c r="K1136" s="184">
        <f>I1136*J1136</f>
        <v>0</v>
      </c>
      <c r="L1136" s="201" t="str">
        <f>IF(1*K1136&gt;=ABS(D1136),"OK","NG")</f>
        <v>NG</v>
      </c>
      <c r="M1136" s="203">
        <f>K1136/ABS(D1136)</f>
        <v>0</v>
      </c>
      <c r="N1136" s="4"/>
      <c r="O1136" s="390"/>
    </row>
    <row r="1137">
      <c r="A1137" s="202">
        <f>A1036</f>
        <v>101</v>
      </c>
      <c r="B1137" s="183">
        <f>(INPUT!BB4+INPUT!BC4+INPUT!BD4)*1.25/2</f>
        <v>-1173.9349772229527</v>
      </c>
      <c r="C1137" s="131">
        <f>COS(ATAN(G95))</f>
        <v>0.992197667229329</v>
      </c>
      <c r="D1137" s="184">
        <f>B1137/C1137</f>
        <v>-1183.1664354756222</v>
      </c>
      <c r="E1137" s="183">
        <f>INPUT!AC4</f>
        <v>1587.5</v>
      </c>
      <c r="F1137" s="184">
        <f>5+5/(E1137/G1036)^2</f>
        <v>20.554591109182219</v>
      </c>
      <c r="G1137" s="184">
        <f>G1036/COS(ATAN(G95))</f>
        <v>2822.01832606489</v>
      </c>
      <c r="H1137" s="184">
        <f>L338</f>
        <v>12</v>
      </c>
      <c r="I1137" s="131">
        <f>IF(G1137/H1137&lt;=1.12*SQRT(INPUT!$B$2*F1137/INPUT!AQ4),1,IF(G1137/H1137&lt;=1.4*SQRT(INPUT!$B$2*F1137/INPUT!AQ4),1.12/(G1137/H1137)*SQRT(INPUT!$B$2*F1137/INPUT!AQ4),1.57*SQRT(INPUT!$B$2*F1137/INPUT!AQ4)^2/(G1137/H1137)^2))</f>
        <v>0</v>
      </c>
      <c r="J1137" s="481">
        <f>0.58*INPUT!AQ4*1000*G1137*H1137/10^6</f>
        <v>6972.6428800411295</v>
      </c>
      <c r="K1137" s="184">
        <f>I1137*J1137</f>
        <v>0</v>
      </c>
      <c r="L1137" s="201" t="str">
        <f>IF(1*K1137&gt;=ABS(D1137),"OK","NG")</f>
        <v>NG</v>
      </c>
      <c r="M1137" s="203">
        <f>K1137/ABS(D1137)</f>
        <v>0</v>
      </c>
      <c r="N1137" s="4"/>
      <c r="O1137" s="390"/>
    </row>
    <row r="1138">
      <c r="A1138" s="202">
        <f>A1037</f>
        <v>101</v>
      </c>
      <c r="B1138" s="183">
        <f>(INPUT!BB5+INPUT!BC5+INPUT!BD5)*1.25/2</f>
        <v>-1173.9349772229527</v>
      </c>
      <c r="C1138" s="131">
        <f>COS(ATAN(G96))</f>
        <v>0.992197667229329</v>
      </c>
      <c r="D1138" s="184">
        <f>B1138/C1138</f>
        <v>-1183.1664354756222</v>
      </c>
      <c r="E1138" s="183">
        <f>INPUT!AC5</f>
        <v>1587.5</v>
      </c>
      <c r="F1138" s="184">
        <f>5+5/(E1138/G1037)^2</f>
        <v>20.554591109182219</v>
      </c>
      <c r="G1138" s="184">
        <f>G1037/COS(ATAN(G96))</f>
        <v>2822.01832606489</v>
      </c>
      <c r="H1138" s="184">
        <f>L339</f>
        <v>12</v>
      </c>
      <c r="I1138" s="131">
        <f>IF(G1138/H1138&lt;=1.12*SQRT(INPUT!$B$2*F1138/INPUT!AQ5),1,IF(G1138/H1138&lt;=1.4*SQRT(INPUT!$B$2*F1138/INPUT!AQ5),1.12/(G1138/H1138)*SQRT(INPUT!$B$2*F1138/INPUT!AQ5),1.57*SQRT(INPUT!$B$2*F1138/INPUT!AQ5)^2/(G1138/H1138)^2))</f>
        <v>0</v>
      </c>
      <c r="J1138" s="481">
        <f>0.58*INPUT!AQ5*1000*G1138*H1138/10^6</f>
        <v>6972.6428800411295</v>
      </c>
      <c r="K1138" s="184">
        <f>I1138*J1138</f>
        <v>0</v>
      </c>
      <c r="L1138" s="201" t="str">
        <f>IF(1*K1138&gt;=ABS(D1138),"OK","NG")</f>
        <v>NG</v>
      </c>
      <c r="M1138" s="203">
        <f>K1138/ABS(D1138)</f>
        <v>0</v>
      </c>
      <c r="N1138" s="4"/>
      <c r="O1138" s="390"/>
    </row>
    <row r="1139">
      <c r="A1139" s="202">
        <f>A1038</f>
        <v>101</v>
      </c>
      <c r="B1139" s="183">
        <f>(INPUT!BB6+INPUT!BC6+INPUT!BD6)*1.25/2</f>
        <v>-1173.9349772229527</v>
      </c>
      <c r="C1139" s="131">
        <f>COS(ATAN(G97))</f>
        <v>0.992197667229329</v>
      </c>
      <c r="D1139" s="184">
        <f>B1139/C1139</f>
        <v>-1183.1664354756222</v>
      </c>
      <c r="E1139" s="183">
        <f>INPUT!AC6</f>
        <v>1587.5</v>
      </c>
      <c r="F1139" s="184">
        <f>5+5/(E1139/G1038)^2</f>
        <v>20.554591109182219</v>
      </c>
      <c r="G1139" s="184">
        <f>G1038/COS(ATAN(G97))</f>
        <v>2822.01832606489</v>
      </c>
      <c r="H1139" s="184">
        <f>L340</f>
        <v>12</v>
      </c>
      <c r="I1139" s="131">
        <f>IF(G1139/H1139&lt;=1.12*SQRT(INPUT!$B$2*F1139/INPUT!AQ6),1,IF(G1139/H1139&lt;=1.4*SQRT(INPUT!$B$2*F1139/INPUT!AQ6),1.12/(G1139/H1139)*SQRT(INPUT!$B$2*F1139/INPUT!AQ6),1.57*SQRT(INPUT!$B$2*F1139/INPUT!AQ6)^2/(G1139/H1139)^2))</f>
        <v>0</v>
      </c>
      <c r="J1139" s="481">
        <f>0.58*INPUT!AQ6*1000*G1139*H1139/10^6</f>
        <v>6972.6428800411295</v>
      </c>
      <c r="K1139" s="184">
        <f>I1139*J1139</f>
        <v>0</v>
      </c>
      <c r="L1139" s="201" t="str">
        <f>IF(1*K1139&gt;=ABS(D1139),"OK","NG")</f>
        <v>NG</v>
      </c>
      <c r="M1139" s="203">
        <f>K1139/ABS(D1139)</f>
        <v>0</v>
      </c>
      <c r="N1139" s="4"/>
      <c r="O1139" s="390"/>
    </row>
    <row r="1140">
      <c r="A1140" s="202">
        <f>A1039</f>
        <v>101</v>
      </c>
      <c r="B1140" s="183">
        <f>(INPUT!BB7+INPUT!BC7+INPUT!BD7)*1.25/2</f>
        <v>-1173.9349772229527</v>
      </c>
      <c r="C1140" s="131">
        <f>COS(ATAN(G98))</f>
        <v>0.992197667229329</v>
      </c>
      <c r="D1140" s="184">
        <f>B1140/C1140</f>
        <v>-1183.1664354756222</v>
      </c>
      <c r="E1140" s="183">
        <f>INPUT!AC7</f>
        <v>1587.5</v>
      </c>
      <c r="F1140" s="184">
        <f>5+5/(E1140/G1039)^2</f>
        <v>20.554591109182219</v>
      </c>
      <c r="G1140" s="184">
        <f>G1039/COS(ATAN(G98))</f>
        <v>2822.01832606489</v>
      </c>
      <c r="H1140" s="184">
        <f>L341</f>
        <v>12</v>
      </c>
      <c r="I1140" s="131">
        <f>IF(G1140/H1140&lt;=1.12*SQRT(INPUT!$B$2*F1140/INPUT!AQ7),1,IF(G1140/H1140&lt;=1.4*SQRT(INPUT!$B$2*F1140/INPUT!AQ7),1.12/(G1140/H1140)*SQRT(INPUT!$B$2*F1140/INPUT!AQ7),1.57*SQRT(INPUT!$B$2*F1140/INPUT!AQ7)^2/(G1140/H1140)^2))</f>
        <v>0</v>
      </c>
      <c r="J1140" s="481">
        <f>0.58*INPUT!AQ7*1000*G1140*H1140/10^6</f>
        <v>6972.6428800411295</v>
      </c>
      <c r="K1140" s="184">
        <f>I1140*J1140</f>
        <v>0</v>
      </c>
      <c r="L1140" s="201" t="str">
        <f>IF(1*K1140&gt;=ABS(D1140),"OK","NG")</f>
        <v>NG</v>
      </c>
      <c r="M1140" s="203">
        <f>K1140/ABS(D1140)</f>
        <v>0</v>
      </c>
      <c r="N1140" s="4"/>
      <c r="O1140" s="390"/>
    </row>
    <row r="1141">
      <c r="A1141" s="202">
        <f>A1040</f>
        <v>101</v>
      </c>
      <c r="B1141" s="183">
        <f>(INPUT!BB8+INPUT!BC8+INPUT!BD8)*1.25/2</f>
        <v>-1173.9349772229527</v>
      </c>
      <c r="C1141" s="131">
        <f>COS(ATAN(G99))</f>
        <v>0.992197667229329</v>
      </c>
      <c r="D1141" s="184">
        <f>B1141/C1141</f>
        <v>-1183.1664354756222</v>
      </c>
      <c r="E1141" s="183">
        <f>INPUT!AC8</f>
        <v>1587.5</v>
      </c>
      <c r="F1141" s="184">
        <f>5+5/(E1141/G1040)^2</f>
        <v>20.554591109182219</v>
      </c>
      <c r="G1141" s="184">
        <f>G1040/COS(ATAN(G99))</f>
        <v>2822.01832606489</v>
      </c>
      <c r="H1141" s="184">
        <f>L342</f>
        <v>12</v>
      </c>
      <c r="I1141" s="131">
        <f>IF(G1141/H1141&lt;=1.12*SQRT(INPUT!$B$2*F1141/INPUT!AQ8),1,IF(G1141/H1141&lt;=1.4*SQRT(INPUT!$B$2*F1141/INPUT!AQ8),1.12/(G1141/H1141)*SQRT(INPUT!$B$2*F1141/INPUT!AQ8),1.57*SQRT(INPUT!$B$2*F1141/INPUT!AQ8)^2/(G1141/H1141)^2))</f>
        <v>0</v>
      </c>
      <c r="J1141" s="481">
        <f>0.58*INPUT!AQ8*1000*G1141*H1141/10^6</f>
        <v>6972.6428800411295</v>
      </c>
      <c r="K1141" s="184">
        <f>I1141*J1141</f>
        <v>0</v>
      </c>
      <c r="L1141" s="201" t="str">
        <f>IF(1*K1141&gt;=ABS(D1141),"OK","NG")</f>
        <v>NG</v>
      </c>
      <c r="M1141" s="203">
        <f>K1141/ABS(D1141)</f>
        <v>0</v>
      </c>
      <c r="N1141" s="4"/>
      <c r="O1141" s="390"/>
    </row>
    <row r="1142">
      <c r="A1142" s="202">
        <f>A1041</f>
        <v>101</v>
      </c>
      <c r="B1142" s="183">
        <f>(INPUT!BB9+INPUT!BC9+INPUT!BD9)*1.25/2</f>
        <v>-1173.9349772229527</v>
      </c>
      <c r="C1142" s="131">
        <f>COS(ATAN(G100))</f>
        <v>0.992197667229329</v>
      </c>
      <c r="D1142" s="184">
        <f>B1142/C1142</f>
        <v>-1183.1664354756222</v>
      </c>
      <c r="E1142" s="183">
        <f>INPUT!AC9</f>
        <v>1587.5</v>
      </c>
      <c r="F1142" s="184">
        <f>5+5/(E1142/G1041)^2</f>
        <v>20.554591109182219</v>
      </c>
      <c r="G1142" s="184">
        <f>G1041/COS(ATAN(G100))</f>
        <v>2822.01832606489</v>
      </c>
      <c r="H1142" s="184">
        <f>L343</f>
        <v>12</v>
      </c>
      <c r="I1142" s="131">
        <f>IF(G1142/H1142&lt;=1.12*SQRT(INPUT!$B$2*F1142/INPUT!AQ9),1,IF(G1142/H1142&lt;=1.4*SQRT(INPUT!$B$2*F1142/INPUT!AQ9),1.12/(G1142/H1142)*SQRT(INPUT!$B$2*F1142/INPUT!AQ9),1.57*SQRT(INPUT!$B$2*F1142/INPUT!AQ9)^2/(G1142/H1142)^2))</f>
        <v>0</v>
      </c>
      <c r="J1142" s="481">
        <f>0.58*INPUT!AQ9*1000*G1142*H1142/10^6</f>
        <v>6972.6428800411295</v>
      </c>
      <c r="K1142" s="184">
        <f>I1142*J1142</f>
        <v>0</v>
      </c>
      <c r="L1142" s="201" t="str">
        <f>IF(1*K1142&gt;=ABS(D1142),"OK","NG")</f>
        <v>NG</v>
      </c>
      <c r="M1142" s="203">
        <f>K1142/ABS(D1142)</f>
        <v>0</v>
      </c>
      <c r="N1142" s="4"/>
      <c r="O1142" s="390"/>
    </row>
    <row r="1143">
      <c r="A1143" s="202">
        <f>A1042</f>
        <v>101</v>
      </c>
      <c r="B1143" s="183">
        <f>(INPUT!BB10+INPUT!BC10+INPUT!BD10)*1.25/2</f>
        <v>-1173.9349772229527</v>
      </c>
      <c r="C1143" s="131">
        <f>COS(ATAN(G101))</f>
        <v>0.992197667229329</v>
      </c>
      <c r="D1143" s="184">
        <f>B1143/C1143</f>
        <v>-1183.1664354756222</v>
      </c>
      <c r="E1143" s="183">
        <f>INPUT!AC10</f>
        <v>1587.5</v>
      </c>
      <c r="F1143" s="184">
        <f>5+5/(E1143/G1042)^2</f>
        <v>20.554591109182219</v>
      </c>
      <c r="G1143" s="184">
        <f>G1042/COS(ATAN(G101))</f>
        <v>2822.01832606489</v>
      </c>
      <c r="H1143" s="184">
        <f>L344</f>
        <v>12</v>
      </c>
      <c r="I1143" s="131">
        <f>IF(G1143/H1143&lt;=1.12*SQRT(INPUT!$B$2*F1143/INPUT!AQ10),1,IF(G1143/H1143&lt;=1.4*SQRT(INPUT!$B$2*F1143/INPUT!AQ10),1.12/(G1143/H1143)*SQRT(INPUT!$B$2*F1143/INPUT!AQ10),1.57*SQRT(INPUT!$B$2*F1143/INPUT!AQ10)^2/(G1143/H1143)^2))</f>
        <v>0</v>
      </c>
      <c r="J1143" s="481">
        <f>0.58*INPUT!AQ10*1000*G1143*H1143/10^6</f>
        <v>6972.6428800411295</v>
      </c>
      <c r="K1143" s="184">
        <f>I1143*J1143</f>
        <v>0</v>
      </c>
      <c r="L1143" s="201" t="str">
        <f>IF(1*K1143&gt;=ABS(D1143),"OK","NG")</f>
        <v>NG</v>
      </c>
      <c r="M1143" s="203">
        <f>K1143/ABS(D1143)</f>
        <v>0</v>
      </c>
      <c r="N1143" s="4"/>
      <c r="O1143" s="390"/>
    </row>
    <row r="1144">
      <c r="A1144" s="202">
        <f>A1043</f>
        <v>101</v>
      </c>
      <c r="B1144" s="183">
        <f>(INPUT!BB11+INPUT!BC11+INPUT!BD11)*1.25/2</f>
        <v>-1173.9349772229527</v>
      </c>
      <c r="C1144" s="131">
        <f>COS(ATAN(G102))</f>
        <v>0.992197667229329</v>
      </c>
      <c r="D1144" s="184">
        <f>B1144/C1144</f>
        <v>-1183.1664354756222</v>
      </c>
      <c r="E1144" s="183">
        <f>INPUT!AC11</f>
        <v>1587.5</v>
      </c>
      <c r="F1144" s="184">
        <f>5+5/(E1144/G1043)^2</f>
        <v>20.554591109182219</v>
      </c>
      <c r="G1144" s="184">
        <f>G1043/COS(ATAN(G102))</f>
        <v>2822.01832606489</v>
      </c>
      <c r="H1144" s="184">
        <f>L345</f>
        <v>12</v>
      </c>
      <c r="I1144" s="131">
        <f>IF(G1144/H1144&lt;=1.12*SQRT(INPUT!$B$2*F1144/INPUT!AQ11),1,IF(G1144/H1144&lt;=1.4*SQRT(INPUT!$B$2*F1144/INPUT!AQ11),1.12/(G1144/H1144)*SQRT(INPUT!$B$2*F1144/INPUT!AQ11),1.57*SQRT(INPUT!$B$2*F1144/INPUT!AQ11)^2/(G1144/H1144)^2))</f>
        <v>0</v>
      </c>
      <c r="J1144" s="481">
        <f>0.58*INPUT!AQ11*1000*G1144*H1144/10^6</f>
        <v>6972.6428800411295</v>
      </c>
      <c r="K1144" s="184">
        <f>I1144*J1144</f>
        <v>0</v>
      </c>
      <c r="L1144" s="201" t="str">
        <f>IF(1*K1144&gt;=ABS(D1144),"OK","NG")</f>
        <v>NG</v>
      </c>
      <c r="M1144" s="203">
        <f>K1144/ABS(D1144)</f>
        <v>0</v>
      </c>
      <c r="N1144" s="4"/>
      <c r="O1144" s="390"/>
    </row>
    <row r="1145">
      <c r="A1145" s="202">
        <f>A1044</f>
        <v>101</v>
      </c>
      <c r="B1145" s="183">
        <f>(INPUT!BB12+INPUT!BC12+INPUT!BD12)*1.25/2</f>
        <v>-1173.9349772229527</v>
      </c>
      <c r="C1145" s="131">
        <f>COS(ATAN(G103))</f>
        <v>0.992197667229329</v>
      </c>
      <c r="D1145" s="184">
        <f>B1145/C1145</f>
        <v>-1183.1664354756222</v>
      </c>
      <c r="E1145" s="183">
        <f>INPUT!AC12</f>
        <v>1587.5</v>
      </c>
      <c r="F1145" s="184">
        <f>5+5/(E1145/G1044)^2</f>
        <v>20.554591109182219</v>
      </c>
      <c r="G1145" s="184">
        <f>G1044/COS(ATAN(G103))</f>
        <v>2822.01832606489</v>
      </c>
      <c r="H1145" s="184">
        <f>L346</f>
        <v>12</v>
      </c>
      <c r="I1145" s="131">
        <f>IF(G1145/H1145&lt;=1.12*SQRT(INPUT!$B$2*F1145/INPUT!AQ12),1,IF(G1145/H1145&lt;=1.4*SQRT(INPUT!$B$2*F1145/INPUT!AQ12),1.12/(G1145/H1145)*SQRT(INPUT!$B$2*F1145/INPUT!AQ12),1.57*SQRT(INPUT!$B$2*F1145/INPUT!AQ12)^2/(G1145/H1145)^2))</f>
        <v>0</v>
      </c>
      <c r="J1145" s="481">
        <f>0.58*INPUT!AQ12*1000*G1145*H1145/10^6</f>
        <v>6972.6428800411295</v>
      </c>
      <c r="K1145" s="184">
        <f>I1145*J1145</f>
        <v>0</v>
      </c>
      <c r="L1145" s="201" t="str">
        <f>IF(1*K1145&gt;=ABS(D1145),"OK","NG")</f>
        <v>NG</v>
      </c>
      <c r="M1145" s="203">
        <f>K1145/ABS(D1145)</f>
        <v>0</v>
      </c>
      <c r="N1145" s="4"/>
      <c r="O1145" s="390"/>
    </row>
    <row r="1146">
      <c r="A1146" s="202">
        <f>A1045</f>
        <v>101</v>
      </c>
      <c r="B1146" s="183">
        <f>(INPUT!BB13+INPUT!BC13+INPUT!BD13)*1.25/2</f>
        <v>-1173.9349772229527</v>
      </c>
      <c r="C1146" s="131">
        <f>COS(ATAN(G104))</f>
        <v>0.992197667229329</v>
      </c>
      <c r="D1146" s="184">
        <f>B1146/C1146</f>
        <v>-1183.1664354756222</v>
      </c>
      <c r="E1146" s="183">
        <f>INPUT!AC13</f>
        <v>1587.5</v>
      </c>
      <c r="F1146" s="184">
        <f>5+5/(E1146/G1045)^2</f>
        <v>20.554591109182219</v>
      </c>
      <c r="G1146" s="184">
        <f>G1045/COS(ATAN(G104))</f>
        <v>2822.01832606489</v>
      </c>
      <c r="H1146" s="184">
        <f>L347</f>
        <v>12</v>
      </c>
      <c r="I1146" s="131">
        <f>IF(G1146/H1146&lt;=1.12*SQRT(INPUT!$B$2*F1146/INPUT!AQ13),1,IF(G1146/H1146&lt;=1.4*SQRT(INPUT!$B$2*F1146/INPUT!AQ13),1.12/(G1146/H1146)*SQRT(INPUT!$B$2*F1146/INPUT!AQ13),1.57*SQRT(INPUT!$B$2*F1146/INPUT!AQ13)^2/(G1146/H1146)^2))</f>
        <v>0</v>
      </c>
      <c r="J1146" s="481">
        <f>0.58*INPUT!AQ13*1000*G1146*H1146/10^6</f>
        <v>6972.6428800411295</v>
      </c>
      <c r="K1146" s="184">
        <f>I1146*J1146</f>
        <v>0</v>
      </c>
      <c r="L1146" s="201" t="str">
        <f>IF(1*K1146&gt;=ABS(D1146),"OK","NG")</f>
        <v>NG</v>
      </c>
      <c r="M1146" s="203">
        <f>K1146/ABS(D1146)</f>
        <v>0</v>
      </c>
      <c r="N1146" s="4"/>
      <c r="O1146" s="390"/>
    </row>
    <row r="1147">
      <c r="A1147" s="202">
        <f>A1046</f>
        <v>101</v>
      </c>
      <c r="B1147" s="183">
        <f>(INPUT!BB14+INPUT!BC14+INPUT!BD14)*1.25/2</f>
        <v>-1173.9349772229527</v>
      </c>
      <c r="C1147" s="131">
        <f>COS(ATAN(G105))</f>
        <v>0.992197667229329</v>
      </c>
      <c r="D1147" s="184">
        <f>B1147/C1147</f>
        <v>-1183.1664354756222</v>
      </c>
      <c r="E1147" s="183">
        <f>INPUT!AC14</f>
        <v>1587.5</v>
      </c>
      <c r="F1147" s="184">
        <f>5+5/(E1147/G1046)^2</f>
        <v>20.554591109182219</v>
      </c>
      <c r="G1147" s="184">
        <f>G1046/COS(ATAN(G105))</f>
        <v>2822.01832606489</v>
      </c>
      <c r="H1147" s="184">
        <f>L348</f>
        <v>12</v>
      </c>
      <c r="I1147" s="131">
        <f>IF(G1147/H1147&lt;=1.12*SQRT(INPUT!$B$2*F1147/INPUT!AQ14),1,IF(G1147/H1147&lt;=1.4*SQRT(INPUT!$B$2*F1147/INPUT!AQ14),1.12/(G1147/H1147)*SQRT(INPUT!$B$2*F1147/INPUT!AQ14),1.57*SQRT(INPUT!$B$2*F1147/INPUT!AQ14)^2/(G1147/H1147)^2))</f>
        <v>0</v>
      </c>
      <c r="J1147" s="481">
        <f>0.58*INPUT!AQ14*1000*G1147*H1147/10^6</f>
        <v>6972.6428800411295</v>
      </c>
      <c r="K1147" s="184">
        <f>I1147*J1147</f>
        <v>0</v>
      </c>
      <c r="L1147" s="201" t="str">
        <f>IF(1*K1147&gt;=ABS(D1147),"OK","NG")</f>
        <v>NG</v>
      </c>
      <c r="M1147" s="203">
        <f>K1147/ABS(D1147)</f>
        <v>0</v>
      </c>
      <c r="N1147" s="4"/>
      <c r="O1147" s="390"/>
    </row>
    <row r="1148">
      <c r="A1148" s="202">
        <f>A1047</f>
        <v>101</v>
      </c>
      <c r="B1148" s="183">
        <f>(INPUT!BB15+INPUT!BC15+INPUT!BD15)*1.25/2</f>
        <v>-1173.9349772229527</v>
      </c>
      <c r="C1148" s="131">
        <f>COS(ATAN(G106))</f>
        <v>0.992197667229329</v>
      </c>
      <c r="D1148" s="184">
        <f>B1148/C1148</f>
        <v>-1183.1664354756222</v>
      </c>
      <c r="E1148" s="183">
        <f>INPUT!AC15</f>
        <v>1587.5</v>
      </c>
      <c r="F1148" s="184">
        <f>5+5/(E1148/G1047)^2</f>
        <v>20.554591109182219</v>
      </c>
      <c r="G1148" s="184">
        <f>G1047/COS(ATAN(G106))</f>
        <v>2822.01832606489</v>
      </c>
      <c r="H1148" s="184">
        <f>L349</f>
        <v>12</v>
      </c>
      <c r="I1148" s="131">
        <f>IF(G1148/H1148&lt;=1.12*SQRT(INPUT!$B$2*F1148/INPUT!AQ15),1,IF(G1148/H1148&lt;=1.4*SQRT(INPUT!$B$2*F1148/INPUT!AQ15),1.12/(G1148/H1148)*SQRT(INPUT!$B$2*F1148/INPUT!AQ15),1.57*SQRT(INPUT!$B$2*F1148/INPUT!AQ15)^2/(G1148/H1148)^2))</f>
        <v>0</v>
      </c>
      <c r="J1148" s="481">
        <f>0.58*INPUT!AQ15*1000*G1148*H1148/10^6</f>
        <v>6972.6428800411295</v>
      </c>
      <c r="K1148" s="184">
        <f>I1148*J1148</f>
        <v>0</v>
      </c>
      <c r="L1148" s="201" t="str">
        <f>IF(1*K1148&gt;=ABS(D1148),"OK","NG")</f>
        <v>NG</v>
      </c>
      <c r="M1148" s="203">
        <f>K1148/ABS(D1148)</f>
        <v>0</v>
      </c>
      <c r="N1148" s="4"/>
      <c r="O1148" s="390"/>
    </row>
    <row r="1149">
      <c r="A1149" s="202">
        <f>A1048</f>
        <v>101</v>
      </c>
      <c r="B1149" s="183">
        <f>(INPUT!BB16+INPUT!BC16+INPUT!BD16)*1.25/2</f>
        <v>-1173.9349772229527</v>
      </c>
      <c r="C1149" s="131">
        <f>COS(ATAN(G107))</f>
        <v>0.992197667229329</v>
      </c>
      <c r="D1149" s="184">
        <f>B1149/C1149</f>
        <v>-1183.1664354756222</v>
      </c>
      <c r="E1149" s="183">
        <f>INPUT!AC16</f>
        <v>1587.5</v>
      </c>
      <c r="F1149" s="184">
        <f>5+5/(E1149/G1048)^2</f>
        <v>20.554591109182219</v>
      </c>
      <c r="G1149" s="184">
        <f>G1048/COS(ATAN(G107))</f>
        <v>2822.01832606489</v>
      </c>
      <c r="H1149" s="184">
        <f>L350</f>
        <v>12</v>
      </c>
      <c r="I1149" s="131">
        <f>IF(G1149/H1149&lt;=1.12*SQRT(INPUT!$B$2*F1149/INPUT!AQ16),1,IF(G1149/H1149&lt;=1.4*SQRT(INPUT!$B$2*F1149/INPUT!AQ16),1.12/(G1149/H1149)*SQRT(INPUT!$B$2*F1149/INPUT!AQ16),1.57*SQRT(INPUT!$B$2*F1149/INPUT!AQ16)^2/(G1149/H1149)^2))</f>
        <v>0</v>
      </c>
      <c r="J1149" s="481">
        <f>0.58*INPUT!AQ16*1000*G1149*H1149/10^6</f>
        <v>6972.6428800411295</v>
      </c>
      <c r="K1149" s="184">
        <f>I1149*J1149</f>
        <v>0</v>
      </c>
      <c r="L1149" s="201" t="str">
        <f>IF(1*K1149&gt;=ABS(D1149),"OK","NG")</f>
        <v>NG</v>
      </c>
      <c r="M1149" s="203">
        <f>K1149/ABS(D1149)</f>
        <v>0</v>
      </c>
      <c r="N1149" s="4"/>
      <c r="O1149" s="390"/>
    </row>
    <row r="1150">
      <c r="A1150" s="202">
        <f>A1049</f>
        <v>101</v>
      </c>
      <c r="B1150" s="183">
        <f>(INPUT!BB17+INPUT!BC17+INPUT!BD17)*1.25/2</f>
        <v>-1173.9349772229527</v>
      </c>
      <c r="C1150" s="131">
        <f>COS(ATAN(G108))</f>
        <v>0.992197667229329</v>
      </c>
      <c r="D1150" s="184">
        <f>B1150/C1150</f>
        <v>-1183.1664354756222</v>
      </c>
      <c r="E1150" s="183">
        <f>INPUT!AC17</f>
        <v>1587.5</v>
      </c>
      <c r="F1150" s="184">
        <f>5+5/(E1150/G1049)^2</f>
        <v>20.554591109182219</v>
      </c>
      <c r="G1150" s="184">
        <f>G1049/COS(ATAN(G108))</f>
        <v>2822.01832606489</v>
      </c>
      <c r="H1150" s="184">
        <f>L351</f>
        <v>12</v>
      </c>
      <c r="I1150" s="131">
        <f>IF(G1150/H1150&lt;=1.12*SQRT(INPUT!$B$2*F1150/INPUT!AQ17),1,IF(G1150/H1150&lt;=1.4*SQRT(INPUT!$B$2*F1150/INPUT!AQ17),1.12/(G1150/H1150)*SQRT(INPUT!$B$2*F1150/INPUT!AQ17),1.57*SQRT(INPUT!$B$2*F1150/INPUT!AQ17)^2/(G1150/H1150)^2))</f>
        <v>0</v>
      </c>
      <c r="J1150" s="481">
        <f>0.58*INPUT!AQ17*1000*G1150*H1150/10^6</f>
        <v>6972.6428800411295</v>
      </c>
      <c r="K1150" s="184">
        <f>I1150*J1150</f>
        <v>0</v>
      </c>
      <c r="L1150" s="201" t="str">
        <f>IF(1*K1150&gt;=ABS(D1150),"OK","NG")</f>
        <v>NG</v>
      </c>
      <c r="M1150" s="203">
        <f>K1150/ABS(D1150)</f>
        <v>0</v>
      </c>
      <c r="N1150" s="4"/>
      <c r="O1150" s="390"/>
    </row>
    <row r="1151">
      <c r="A1151" s="202">
        <f>A1050</f>
        <v>101</v>
      </c>
      <c r="B1151" s="183">
        <f>(INPUT!BB18+INPUT!BC18+INPUT!BD18)*1.25/2</f>
        <v>-1173.9349772229527</v>
      </c>
      <c r="C1151" s="131">
        <f>COS(ATAN(G109))</f>
        <v>0.992197667229329</v>
      </c>
      <c r="D1151" s="184">
        <f>B1151/C1151</f>
        <v>-1183.1664354756222</v>
      </c>
      <c r="E1151" s="183">
        <f>INPUT!AC18</f>
        <v>1587.5</v>
      </c>
      <c r="F1151" s="184">
        <f>5+5/(E1151/G1050)^2</f>
        <v>20.554591109182219</v>
      </c>
      <c r="G1151" s="184">
        <f>G1050/COS(ATAN(G109))</f>
        <v>2822.01832606489</v>
      </c>
      <c r="H1151" s="184">
        <f>L352</f>
        <v>12</v>
      </c>
      <c r="I1151" s="131">
        <f>IF(G1151/H1151&lt;=1.12*SQRT(INPUT!$B$2*F1151/INPUT!AQ18),1,IF(G1151/H1151&lt;=1.4*SQRT(INPUT!$B$2*F1151/INPUT!AQ18),1.12/(G1151/H1151)*SQRT(INPUT!$B$2*F1151/INPUT!AQ18),1.57*SQRT(INPUT!$B$2*F1151/INPUT!AQ18)^2/(G1151/H1151)^2))</f>
        <v>0</v>
      </c>
      <c r="J1151" s="481">
        <f>0.58*INPUT!AQ18*1000*G1151*H1151/10^6</f>
        <v>6972.6428800411295</v>
      </c>
      <c r="K1151" s="184">
        <f>I1151*J1151</f>
        <v>0</v>
      </c>
      <c r="L1151" s="201" t="str">
        <f>IF(1*K1151&gt;=ABS(D1151),"OK","NG")</f>
        <v>NG</v>
      </c>
      <c r="M1151" s="203">
        <f>K1151/ABS(D1151)</f>
        <v>0</v>
      </c>
      <c r="N1151" s="4"/>
      <c r="O1151" s="390"/>
    </row>
    <row r="1152">
      <c r="A1152" s="202">
        <f>A1051</f>
        <v>101</v>
      </c>
      <c r="B1152" s="183">
        <f>(INPUT!BB19+INPUT!BC19+INPUT!BD19)*1.25/2</f>
        <v>-1173.9349772229527</v>
      </c>
      <c r="C1152" s="131">
        <f>COS(ATAN(G110))</f>
        <v>0.992197667229329</v>
      </c>
      <c r="D1152" s="184">
        <f>B1152/C1152</f>
        <v>-1183.1664354756222</v>
      </c>
      <c r="E1152" s="183">
        <f>INPUT!AC19</f>
        <v>1587.5</v>
      </c>
      <c r="F1152" s="184">
        <f>5+5/(E1152/G1051)^2</f>
        <v>20.554591109182219</v>
      </c>
      <c r="G1152" s="184">
        <f>G1051/COS(ATAN(G110))</f>
        <v>2822.01832606489</v>
      </c>
      <c r="H1152" s="184">
        <f>L353</f>
        <v>12</v>
      </c>
      <c r="I1152" s="131">
        <f>IF(G1152/H1152&lt;=1.12*SQRT(INPUT!$B$2*F1152/INPUT!AQ19),1,IF(G1152/H1152&lt;=1.4*SQRT(INPUT!$B$2*F1152/INPUT!AQ19),1.12/(G1152/H1152)*SQRT(INPUT!$B$2*F1152/INPUT!AQ19),1.57*SQRT(INPUT!$B$2*F1152/INPUT!AQ19)^2/(G1152/H1152)^2))</f>
        <v>0</v>
      </c>
      <c r="J1152" s="481">
        <f>0.58*INPUT!AQ19*1000*G1152*H1152/10^6</f>
        <v>6972.6428800411295</v>
      </c>
      <c r="K1152" s="184">
        <f>I1152*J1152</f>
        <v>0</v>
      </c>
      <c r="L1152" s="201" t="str">
        <f>IF(1*K1152&gt;=ABS(D1152),"OK","NG")</f>
        <v>NG</v>
      </c>
      <c r="M1152" s="203">
        <f>K1152/ABS(D1152)</f>
        <v>0</v>
      </c>
      <c r="N1152" s="4"/>
      <c r="O1152" s="390"/>
    </row>
    <row r="1153">
      <c r="A1153" s="202">
        <f>A1052</f>
        <v>101</v>
      </c>
      <c r="B1153" s="183">
        <f>(INPUT!BB20+INPUT!BC20+INPUT!BD20)*1.25/2</f>
        <v>-1173.9349772229527</v>
      </c>
      <c r="C1153" s="131">
        <f>COS(ATAN(G111))</f>
        <v>0.992197667229329</v>
      </c>
      <c r="D1153" s="184">
        <f>B1153/C1153</f>
        <v>-1183.1664354756222</v>
      </c>
      <c r="E1153" s="183">
        <f>INPUT!AC20</f>
        <v>1587.5</v>
      </c>
      <c r="F1153" s="184">
        <f>5+5/(E1153/G1052)^2</f>
        <v>20.554591109182219</v>
      </c>
      <c r="G1153" s="184">
        <f>G1052/COS(ATAN(G111))</f>
        <v>2822.01832606489</v>
      </c>
      <c r="H1153" s="184">
        <f>L354</f>
        <v>12</v>
      </c>
      <c r="I1153" s="131">
        <f>IF(G1153/H1153&lt;=1.12*SQRT(INPUT!$B$2*F1153/INPUT!AQ20),1,IF(G1153/H1153&lt;=1.4*SQRT(INPUT!$B$2*F1153/INPUT!AQ20),1.12/(G1153/H1153)*SQRT(INPUT!$B$2*F1153/INPUT!AQ20),1.57*SQRT(INPUT!$B$2*F1153/INPUT!AQ20)^2/(G1153/H1153)^2))</f>
        <v>0</v>
      </c>
      <c r="J1153" s="481">
        <f>0.58*INPUT!AQ20*1000*G1153*H1153/10^6</f>
        <v>6972.6428800411295</v>
      </c>
      <c r="K1153" s="184">
        <f>I1153*J1153</f>
        <v>0</v>
      </c>
      <c r="L1153" s="201" t="str">
        <f>IF(1*K1153&gt;=ABS(D1153),"OK","NG")</f>
        <v>NG</v>
      </c>
      <c r="M1153" s="203">
        <f>K1153/ABS(D1153)</f>
        <v>0</v>
      </c>
      <c r="N1153" s="4"/>
      <c r="O1153" s="390"/>
    </row>
    <row r="1154">
      <c r="A1154" s="202">
        <f>A1053</f>
        <v>101</v>
      </c>
      <c r="B1154" s="183">
        <f>(INPUT!BB21+INPUT!BC21+INPUT!BD21)*1.25/2</f>
        <v>-1173.9349772229527</v>
      </c>
      <c r="C1154" s="131">
        <f>COS(ATAN(G112))</f>
        <v>0.992197667229329</v>
      </c>
      <c r="D1154" s="184">
        <f>B1154/C1154</f>
        <v>-1183.1664354756222</v>
      </c>
      <c r="E1154" s="183">
        <f>INPUT!AC21</f>
        <v>1587.5</v>
      </c>
      <c r="F1154" s="184">
        <f>5+5/(E1154/G1053)^2</f>
        <v>20.554591109182219</v>
      </c>
      <c r="G1154" s="184">
        <f>G1053/COS(ATAN(G112))</f>
        <v>2822.01832606489</v>
      </c>
      <c r="H1154" s="184">
        <f>L355</f>
        <v>12</v>
      </c>
      <c r="I1154" s="131">
        <f>IF(G1154/H1154&lt;=1.12*SQRT(INPUT!$B$2*F1154/INPUT!AQ21),1,IF(G1154/H1154&lt;=1.4*SQRT(INPUT!$B$2*F1154/INPUT!AQ21),1.12/(G1154/H1154)*SQRT(INPUT!$B$2*F1154/INPUT!AQ21),1.57*SQRT(INPUT!$B$2*F1154/INPUT!AQ21)^2/(G1154/H1154)^2))</f>
        <v>0</v>
      </c>
      <c r="J1154" s="481">
        <f>0.58*INPUT!AQ21*1000*G1154*H1154/10^6</f>
        <v>6972.6428800411295</v>
      </c>
      <c r="K1154" s="184">
        <f>I1154*J1154</f>
        <v>0</v>
      </c>
      <c r="L1154" s="201" t="str">
        <f>IF(1*K1154&gt;=ABS(D1154),"OK","NG")</f>
        <v>NG</v>
      </c>
      <c r="M1154" s="203">
        <f>K1154/ABS(D1154)</f>
        <v>0</v>
      </c>
      <c r="N1154" s="4"/>
      <c r="O1154" s="390"/>
    </row>
    <row r="1155">
      <c r="A1155" s="202">
        <f>A1054</f>
        <v>101</v>
      </c>
      <c r="B1155" s="183">
        <f>(INPUT!BB22+INPUT!BC22+INPUT!BD22)*1.25/2</f>
        <v>-1173.9349772229527</v>
      </c>
      <c r="C1155" s="131">
        <f>COS(ATAN(G113))</f>
        <v>0.992197667229329</v>
      </c>
      <c r="D1155" s="184">
        <f>B1155/C1155</f>
        <v>-1183.1664354756222</v>
      </c>
      <c r="E1155" s="183">
        <f>INPUT!AC22</f>
        <v>1587.5</v>
      </c>
      <c r="F1155" s="184">
        <f>5+5/(E1155/G1054)^2</f>
        <v>20.554591109182219</v>
      </c>
      <c r="G1155" s="184">
        <f>G1054/COS(ATAN(G113))</f>
        <v>2822.01832606489</v>
      </c>
      <c r="H1155" s="184">
        <f>L356</f>
        <v>12</v>
      </c>
      <c r="I1155" s="131">
        <f>IF(G1155/H1155&lt;=1.12*SQRT(INPUT!$B$2*F1155/INPUT!AQ22),1,IF(G1155/H1155&lt;=1.4*SQRT(INPUT!$B$2*F1155/INPUT!AQ22),1.12/(G1155/H1155)*SQRT(INPUT!$B$2*F1155/INPUT!AQ22),1.57*SQRT(INPUT!$B$2*F1155/INPUT!AQ22)^2/(G1155/H1155)^2))</f>
        <v>0</v>
      </c>
      <c r="J1155" s="481">
        <f>0.58*INPUT!AQ22*1000*G1155*H1155/10^6</f>
        <v>6972.6428800411295</v>
      </c>
      <c r="K1155" s="184">
        <f>I1155*J1155</f>
        <v>0</v>
      </c>
      <c r="L1155" s="201" t="str">
        <f>IF(1*K1155&gt;=ABS(D1155),"OK","NG")</f>
        <v>NG</v>
      </c>
      <c r="M1155" s="203">
        <f>K1155/ABS(D1155)</f>
        <v>0</v>
      </c>
      <c r="N1155" s="4"/>
      <c r="O1155" s="390"/>
    </row>
    <row r="1156">
      <c r="A1156" s="202">
        <f>A1055</f>
        <v>101</v>
      </c>
      <c r="B1156" s="183">
        <f>(INPUT!BB23+INPUT!BC23+INPUT!BD23)*1.25/2</f>
        <v>-1173.9349772229527</v>
      </c>
      <c r="C1156" s="131">
        <f>COS(ATAN(G114))</f>
        <v>0.992197667229329</v>
      </c>
      <c r="D1156" s="184">
        <f>B1156/C1156</f>
        <v>-1183.1664354756222</v>
      </c>
      <c r="E1156" s="183">
        <f>INPUT!AC23</f>
        <v>1587.5</v>
      </c>
      <c r="F1156" s="184">
        <f>5+5/(E1156/G1055)^2</f>
        <v>20.554591109182219</v>
      </c>
      <c r="G1156" s="184">
        <f>G1055/COS(ATAN(G114))</f>
        <v>2822.01832606489</v>
      </c>
      <c r="H1156" s="184">
        <f>L357</f>
        <v>12</v>
      </c>
      <c r="I1156" s="131">
        <f>IF(G1156/H1156&lt;=1.12*SQRT(INPUT!$B$2*F1156/INPUT!AQ23),1,IF(G1156/H1156&lt;=1.4*SQRT(INPUT!$B$2*F1156/INPUT!AQ23),1.12/(G1156/H1156)*SQRT(INPUT!$B$2*F1156/INPUT!AQ23),1.57*SQRT(INPUT!$B$2*F1156/INPUT!AQ23)^2/(G1156/H1156)^2))</f>
        <v>0</v>
      </c>
      <c r="J1156" s="481">
        <f>0.58*INPUT!AQ23*1000*G1156*H1156/10^6</f>
        <v>6972.6428800411295</v>
      </c>
      <c r="K1156" s="184">
        <f>I1156*J1156</f>
        <v>0</v>
      </c>
      <c r="L1156" s="201" t="str">
        <f>IF(1*K1156&gt;=ABS(D1156),"OK","NG")</f>
        <v>NG</v>
      </c>
      <c r="M1156" s="203">
        <f>K1156/ABS(D1156)</f>
        <v>0</v>
      </c>
      <c r="N1156" s="4"/>
      <c r="O1156" s="390"/>
    </row>
    <row r="1157">
      <c r="A1157" s="202">
        <f>A1056</f>
        <v>101</v>
      </c>
      <c r="B1157" s="183">
        <f>(INPUT!BB24+INPUT!BC24+INPUT!BD24)*1.25/2</f>
        <v>-1173.9349772229527</v>
      </c>
      <c r="C1157" s="131">
        <f>COS(ATAN(G115))</f>
        <v>0.992197667229329</v>
      </c>
      <c r="D1157" s="184">
        <f>B1157/C1157</f>
        <v>-1183.1664354756222</v>
      </c>
      <c r="E1157" s="183">
        <f>INPUT!AC24</f>
        <v>1587.5</v>
      </c>
      <c r="F1157" s="184">
        <f>5+5/(E1157/G1056)^2</f>
        <v>20.554591109182219</v>
      </c>
      <c r="G1157" s="184">
        <f>G1056/COS(ATAN(G115))</f>
        <v>2822.01832606489</v>
      </c>
      <c r="H1157" s="184">
        <f>L358</f>
        <v>12</v>
      </c>
      <c r="I1157" s="131">
        <f>IF(G1157/H1157&lt;=1.12*SQRT(INPUT!$B$2*F1157/INPUT!AQ24),1,IF(G1157/H1157&lt;=1.4*SQRT(INPUT!$B$2*F1157/INPUT!AQ24),1.12/(G1157/H1157)*SQRT(INPUT!$B$2*F1157/INPUT!AQ24),1.57*SQRT(INPUT!$B$2*F1157/INPUT!AQ24)^2/(G1157/H1157)^2))</f>
        <v>0</v>
      </c>
      <c r="J1157" s="481">
        <f>0.58*INPUT!AQ24*1000*G1157*H1157/10^6</f>
        <v>6972.6428800411295</v>
      </c>
      <c r="K1157" s="184">
        <f>I1157*J1157</f>
        <v>0</v>
      </c>
      <c r="L1157" s="201" t="str">
        <f>IF(1*K1157&gt;=ABS(D1157),"OK","NG")</f>
        <v>NG</v>
      </c>
      <c r="M1157" s="203">
        <f>K1157/ABS(D1157)</f>
        <v>0</v>
      </c>
      <c r="N1157" s="4"/>
      <c r="O1157" s="390"/>
    </row>
    <row r="1158">
      <c r="A1158" s="202">
        <f>A1057</f>
        <v>101</v>
      </c>
      <c r="B1158" s="183">
        <f>(INPUT!BB25+INPUT!BC25+INPUT!BD25)*1.25/2</f>
        <v>-1173.9349772229527</v>
      </c>
      <c r="C1158" s="131">
        <f>COS(ATAN(G116))</f>
        <v>0.992197667229329</v>
      </c>
      <c r="D1158" s="184">
        <f>B1158/C1158</f>
        <v>-1183.1664354756222</v>
      </c>
      <c r="E1158" s="183">
        <f>INPUT!AC25</f>
        <v>1587.5</v>
      </c>
      <c r="F1158" s="184">
        <f>5+5/(E1158/G1057)^2</f>
        <v>20.554591109182219</v>
      </c>
      <c r="G1158" s="184">
        <f>G1057/COS(ATAN(G116))</f>
        <v>2822.01832606489</v>
      </c>
      <c r="H1158" s="184">
        <f>L359</f>
        <v>12</v>
      </c>
      <c r="I1158" s="131">
        <f>IF(G1158/H1158&lt;=1.12*SQRT(INPUT!$B$2*F1158/INPUT!AQ25),1,IF(G1158/H1158&lt;=1.4*SQRT(INPUT!$B$2*F1158/INPUT!AQ25),1.12/(G1158/H1158)*SQRT(INPUT!$B$2*F1158/INPUT!AQ25),1.57*SQRT(INPUT!$B$2*F1158/INPUT!AQ25)^2/(G1158/H1158)^2))</f>
        <v>0</v>
      </c>
      <c r="J1158" s="481">
        <f>0.58*INPUT!AQ25*1000*G1158*H1158/10^6</f>
        <v>6972.6428800411295</v>
      </c>
      <c r="K1158" s="184">
        <f>I1158*J1158</f>
        <v>0</v>
      </c>
      <c r="L1158" s="201" t="str">
        <f>IF(1*K1158&gt;=ABS(D1158),"OK","NG")</f>
        <v>NG</v>
      </c>
      <c r="M1158" s="203">
        <f>K1158/ABS(D1158)</f>
        <v>0</v>
      </c>
      <c r="N1158" s="4"/>
      <c r="O1158" s="390"/>
    </row>
    <row r="1159">
      <c r="A1159" s="202">
        <f>A1058</f>
        <v>101</v>
      </c>
      <c r="B1159" s="183">
        <f>(INPUT!BB26+INPUT!BC26+INPUT!BD26)*1.25/2</f>
        <v>-1173.9349772229527</v>
      </c>
      <c r="C1159" s="131">
        <f>COS(ATAN(G117))</f>
        <v>0.992197667229329</v>
      </c>
      <c r="D1159" s="184">
        <f>B1159/C1159</f>
        <v>-1183.1664354756222</v>
      </c>
      <c r="E1159" s="183">
        <f>INPUT!AC26</f>
        <v>1587.5</v>
      </c>
      <c r="F1159" s="184">
        <f>5+5/(E1159/G1058)^2</f>
        <v>20.554591109182219</v>
      </c>
      <c r="G1159" s="184">
        <f>G1058/COS(ATAN(G117))</f>
        <v>2822.01832606489</v>
      </c>
      <c r="H1159" s="184">
        <f>L360</f>
        <v>12</v>
      </c>
      <c r="I1159" s="131">
        <f>IF(G1159/H1159&lt;=1.12*SQRT(INPUT!$B$2*F1159/INPUT!AQ26),1,IF(G1159/H1159&lt;=1.4*SQRT(INPUT!$B$2*F1159/INPUT!AQ26),1.12/(G1159/H1159)*SQRT(INPUT!$B$2*F1159/INPUT!AQ26),1.57*SQRT(INPUT!$B$2*F1159/INPUT!AQ26)^2/(G1159/H1159)^2))</f>
        <v>0</v>
      </c>
      <c r="J1159" s="481">
        <f>0.58*INPUT!AQ26*1000*G1159*H1159/10^6</f>
        <v>6972.6428800411295</v>
      </c>
      <c r="K1159" s="184">
        <f>I1159*J1159</f>
        <v>0</v>
      </c>
      <c r="L1159" s="201" t="str">
        <f>IF(1*K1159&gt;=ABS(D1159),"OK","NG")</f>
        <v>NG</v>
      </c>
      <c r="M1159" s="203">
        <f>K1159/ABS(D1159)</f>
        <v>0</v>
      </c>
      <c r="N1159" s="4"/>
      <c r="O1159" s="390"/>
    </row>
    <row r="1160">
      <c r="A1160" s="202">
        <f>A1059</f>
        <v>101</v>
      </c>
      <c r="B1160" s="183">
        <f>(INPUT!BB27+INPUT!BC27+INPUT!BD27)*1.25/2</f>
        <v>-1173.9349772229527</v>
      </c>
      <c r="C1160" s="131">
        <f>COS(ATAN(G118))</f>
        <v>0.992197667229329</v>
      </c>
      <c r="D1160" s="184">
        <f>B1160/C1160</f>
        <v>-1183.1664354756222</v>
      </c>
      <c r="E1160" s="183">
        <f>INPUT!AC27</f>
        <v>1587.5</v>
      </c>
      <c r="F1160" s="184">
        <f>5+5/(E1160/G1059)^2</f>
        <v>20.554591109182219</v>
      </c>
      <c r="G1160" s="184">
        <f>G1059/COS(ATAN(G118))</f>
        <v>2822.01832606489</v>
      </c>
      <c r="H1160" s="184">
        <f>L361</f>
        <v>12</v>
      </c>
      <c r="I1160" s="131">
        <f>IF(G1160/H1160&lt;=1.12*SQRT(INPUT!$B$2*F1160/INPUT!AQ27),1,IF(G1160/H1160&lt;=1.4*SQRT(INPUT!$B$2*F1160/INPUT!AQ27),1.12/(G1160/H1160)*SQRT(INPUT!$B$2*F1160/INPUT!AQ27),1.57*SQRT(INPUT!$B$2*F1160/INPUT!AQ27)^2/(G1160/H1160)^2))</f>
        <v>0</v>
      </c>
      <c r="J1160" s="481">
        <f>0.58*INPUT!AQ27*1000*G1160*H1160/10^6</f>
        <v>6972.6428800411295</v>
      </c>
      <c r="K1160" s="184">
        <f>I1160*J1160</f>
        <v>0</v>
      </c>
      <c r="L1160" s="201" t="str">
        <f>IF(1*K1160&gt;=ABS(D1160),"OK","NG")</f>
        <v>NG</v>
      </c>
      <c r="M1160" s="203">
        <f>K1160/ABS(D1160)</f>
        <v>0</v>
      </c>
      <c r="N1160" s="4"/>
      <c r="O1160" s="390"/>
    </row>
    <row r="1161">
      <c r="A1161" s="202">
        <f>A1060</f>
        <v>101</v>
      </c>
      <c r="B1161" s="183">
        <f>(INPUT!BB28+INPUT!BC28+INPUT!BD28)*1.25/2</f>
        <v>-1173.9349772229527</v>
      </c>
      <c r="C1161" s="131">
        <f>COS(ATAN(G119))</f>
        <v>0.992197667229329</v>
      </c>
      <c r="D1161" s="184">
        <f>B1161/C1161</f>
        <v>-1183.1664354756222</v>
      </c>
      <c r="E1161" s="183">
        <f>INPUT!AC28</f>
        <v>1587.5</v>
      </c>
      <c r="F1161" s="184">
        <f>5+5/(E1161/G1060)^2</f>
        <v>20.554591109182219</v>
      </c>
      <c r="G1161" s="184">
        <f>G1060/COS(ATAN(G119))</f>
        <v>2822.01832606489</v>
      </c>
      <c r="H1161" s="184">
        <f>L362</f>
        <v>12</v>
      </c>
      <c r="I1161" s="131">
        <f>IF(G1161/H1161&lt;=1.12*SQRT(INPUT!$B$2*F1161/INPUT!AQ28),1,IF(G1161/H1161&lt;=1.4*SQRT(INPUT!$B$2*F1161/INPUT!AQ28),1.12/(G1161/H1161)*SQRT(INPUT!$B$2*F1161/INPUT!AQ28),1.57*SQRT(INPUT!$B$2*F1161/INPUT!AQ28)^2/(G1161/H1161)^2))</f>
        <v>0</v>
      </c>
      <c r="J1161" s="481">
        <f>0.58*INPUT!AQ28*1000*G1161*H1161/10^6</f>
        <v>6972.6428800411295</v>
      </c>
      <c r="K1161" s="184">
        <f>I1161*J1161</f>
        <v>0</v>
      </c>
      <c r="L1161" s="201" t="str">
        <f>IF(1*K1161&gt;=ABS(D1161),"OK","NG")</f>
        <v>NG</v>
      </c>
      <c r="M1161" s="203">
        <f>K1161/ABS(D1161)</f>
        <v>0</v>
      </c>
      <c r="N1161" s="4"/>
      <c r="O1161" s="390"/>
    </row>
    <row r="1162">
      <c r="A1162" s="202">
        <f>A1061</f>
        <v>101</v>
      </c>
      <c r="B1162" s="183">
        <f>(INPUT!BB29+INPUT!BC29+INPUT!BD29)*1.25/2</f>
        <v>-1173.9349772229527</v>
      </c>
      <c r="C1162" s="131">
        <f>COS(ATAN(G120))</f>
        <v>0.992197667229329</v>
      </c>
      <c r="D1162" s="184">
        <f>B1162/C1162</f>
        <v>-1183.1664354756222</v>
      </c>
      <c r="E1162" s="183">
        <f>INPUT!AC29</f>
        <v>1587.5</v>
      </c>
      <c r="F1162" s="184">
        <f>5+5/(E1162/G1061)^2</f>
        <v>20.554591109182219</v>
      </c>
      <c r="G1162" s="184">
        <f>G1061/COS(ATAN(G120))</f>
        <v>2822.01832606489</v>
      </c>
      <c r="H1162" s="184">
        <f>L363</f>
        <v>12</v>
      </c>
      <c r="I1162" s="131">
        <f>IF(G1162/H1162&lt;=1.12*SQRT(INPUT!$B$2*F1162/INPUT!AQ29),1,IF(G1162/H1162&lt;=1.4*SQRT(INPUT!$B$2*F1162/INPUT!AQ29),1.12/(G1162/H1162)*SQRT(INPUT!$B$2*F1162/INPUT!AQ29),1.57*SQRT(INPUT!$B$2*F1162/INPUT!AQ29)^2/(G1162/H1162)^2))</f>
        <v>0</v>
      </c>
      <c r="J1162" s="481">
        <f>0.58*INPUT!AQ29*1000*G1162*H1162/10^6</f>
        <v>6972.6428800411295</v>
      </c>
      <c r="K1162" s="184">
        <f>I1162*J1162</f>
        <v>0</v>
      </c>
      <c r="L1162" s="201" t="str">
        <f>IF(1*K1162&gt;=ABS(D1162),"OK","NG")</f>
        <v>NG</v>
      </c>
      <c r="M1162" s="203">
        <f>K1162/ABS(D1162)</f>
        <v>0</v>
      </c>
      <c r="N1162" s="4"/>
      <c r="O1162" s="390"/>
    </row>
    <row r="1163">
      <c r="A1163" s="202">
        <f>A1062</f>
        <v>101</v>
      </c>
      <c r="B1163" s="183">
        <f>(INPUT!BB30+INPUT!BC30+INPUT!BD30)*1.25/2</f>
        <v>-1173.9349772229527</v>
      </c>
      <c r="C1163" s="131">
        <f>COS(ATAN(G121))</f>
        <v>0.992197667229329</v>
      </c>
      <c r="D1163" s="184">
        <f>B1163/C1163</f>
        <v>-1183.1664354756222</v>
      </c>
      <c r="E1163" s="183">
        <f>INPUT!AC30</f>
        <v>1587.5</v>
      </c>
      <c r="F1163" s="184">
        <f>5+5/(E1163/G1062)^2</f>
        <v>20.554591109182219</v>
      </c>
      <c r="G1163" s="184">
        <f>G1062/COS(ATAN(G121))</f>
        <v>2822.01832606489</v>
      </c>
      <c r="H1163" s="184">
        <f>L364</f>
        <v>12</v>
      </c>
      <c r="I1163" s="131">
        <f>IF(G1163/H1163&lt;=1.12*SQRT(INPUT!$B$2*F1163/INPUT!AQ30),1,IF(G1163/H1163&lt;=1.4*SQRT(INPUT!$B$2*F1163/INPUT!AQ30),1.12/(G1163/H1163)*SQRT(INPUT!$B$2*F1163/INPUT!AQ30),1.57*SQRT(INPUT!$B$2*F1163/INPUT!AQ30)^2/(G1163/H1163)^2))</f>
        <v>0</v>
      </c>
      <c r="J1163" s="481">
        <f>0.58*INPUT!AQ30*1000*G1163*H1163/10^6</f>
        <v>6972.6428800411295</v>
      </c>
      <c r="K1163" s="184">
        <f>I1163*J1163</f>
        <v>0</v>
      </c>
      <c r="L1163" s="201" t="str">
        <f>IF(1*K1163&gt;=ABS(D1163),"OK","NG")</f>
        <v>NG</v>
      </c>
      <c r="M1163" s="203">
        <f>K1163/ABS(D1163)</f>
        <v>0</v>
      </c>
      <c r="N1163" s="4"/>
      <c r="O1163" s="390"/>
    </row>
    <row r="1164">
      <c r="A1164" s="202">
        <f>A1063</f>
        <v>101</v>
      </c>
      <c r="B1164" s="183">
        <f>(INPUT!BB31+INPUT!BC31+INPUT!BD31)*1.25/2</f>
        <v>-1173.9349772229527</v>
      </c>
      <c r="C1164" s="131">
        <f>COS(ATAN(G122))</f>
        <v>0.992197667229329</v>
      </c>
      <c r="D1164" s="184">
        <f>B1164/C1164</f>
        <v>-1183.1664354756222</v>
      </c>
      <c r="E1164" s="183">
        <f>INPUT!AC31</f>
        <v>1587.5</v>
      </c>
      <c r="F1164" s="184">
        <f>5+5/(E1164/G1063)^2</f>
        <v>20.554591109182219</v>
      </c>
      <c r="G1164" s="184">
        <f>G1063/COS(ATAN(G122))</f>
        <v>2822.01832606489</v>
      </c>
      <c r="H1164" s="184">
        <f>L365</f>
        <v>12</v>
      </c>
      <c r="I1164" s="131">
        <f>IF(G1164/H1164&lt;=1.12*SQRT(INPUT!$B$2*F1164/INPUT!AQ31),1,IF(G1164/H1164&lt;=1.4*SQRT(INPUT!$B$2*F1164/INPUT!AQ31),1.12/(G1164/H1164)*SQRT(INPUT!$B$2*F1164/INPUT!AQ31),1.57*SQRT(INPUT!$B$2*F1164/INPUT!AQ31)^2/(G1164/H1164)^2))</f>
        <v>0</v>
      </c>
      <c r="J1164" s="481">
        <f>0.58*INPUT!AQ31*1000*G1164*H1164/10^6</f>
        <v>6972.6428800411295</v>
      </c>
      <c r="K1164" s="184">
        <f>I1164*J1164</f>
        <v>0</v>
      </c>
      <c r="L1164" s="201" t="str">
        <f>IF(1*K1164&gt;=ABS(D1164),"OK","NG")</f>
        <v>NG</v>
      </c>
      <c r="M1164" s="203">
        <f>K1164/ABS(D1164)</f>
        <v>0</v>
      </c>
      <c r="N1164" s="4"/>
      <c r="O1164" s="390"/>
    </row>
    <row r="1165">
      <c r="A1165" s="202">
        <f>A1064</f>
        <v>101</v>
      </c>
      <c r="B1165" s="183">
        <f>(INPUT!BB32+INPUT!BC32+INPUT!BD32)*1.25/2</f>
        <v>-1173.9349772229527</v>
      </c>
      <c r="C1165" s="131">
        <f>COS(ATAN(G123))</f>
        <v>0.992197667229329</v>
      </c>
      <c r="D1165" s="184">
        <f>B1165/C1165</f>
        <v>-1183.1664354756222</v>
      </c>
      <c r="E1165" s="183">
        <f>INPUT!AC32</f>
        <v>1587.5</v>
      </c>
      <c r="F1165" s="184">
        <f>5+5/(E1165/G1064)^2</f>
        <v>20.554591109182219</v>
      </c>
      <c r="G1165" s="184">
        <f>G1064/COS(ATAN(G123))</f>
        <v>2822.01832606489</v>
      </c>
      <c r="H1165" s="184">
        <f>L366</f>
        <v>12</v>
      </c>
      <c r="I1165" s="131">
        <f>IF(G1165/H1165&lt;=1.12*SQRT(INPUT!$B$2*F1165/INPUT!AQ32),1,IF(G1165/H1165&lt;=1.4*SQRT(INPUT!$B$2*F1165/INPUT!AQ32),1.12/(G1165/H1165)*SQRT(INPUT!$B$2*F1165/INPUT!AQ32),1.57*SQRT(INPUT!$B$2*F1165/INPUT!AQ32)^2/(G1165/H1165)^2))</f>
        <v>0</v>
      </c>
      <c r="J1165" s="481">
        <f>0.58*INPUT!AQ32*1000*G1165*H1165/10^6</f>
        <v>6972.6428800411295</v>
      </c>
      <c r="K1165" s="184">
        <f>I1165*J1165</f>
        <v>0</v>
      </c>
      <c r="L1165" s="201" t="str">
        <f>IF(1*K1165&gt;=ABS(D1165),"OK","NG")</f>
        <v>NG</v>
      </c>
      <c r="M1165" s="203">
        <f>K1165/ABS(D1165)</f>
        <v>0</v>
      </c>
      <c r="N1165" s="4"/>
      <c r="O1165" s="390"/>
    </row>
    <row r="1166">
      <c r="A1166" s="202">
        <f>A1065</f>
        <v>101</v>
      </c>
      <c r="B1166" s="183">
        <f>(INPUT!BB33+INPUT!BC33+INPUT!BD33)*1.25/2</f>
        <v>-1173.9349772229527</v>
      </c>
      <c r="C1166" s="131">
        <f>COS(ATAN(G124))</f>
        <v>0.992197667229329</v>
      </c>
      <c r="D1166" s="184">
        <f>B1166/C1166</f>
        <v>-1183.1664354756222</v>
      </c>
      <c r="E1166" s="183">
        <f>INPUT!AC33</f>
        <v>1587.5</v>
      </c>
      <c r="F1166" s="184">
        <f>5+5/(E1166/G1065)^2</f>
        <v>20.554591109182219</v>
      </c>
      <c r="G1166" s="184">
        <f>G1065/COS(ATAN(G124))</f>
        <v>2822.01832606489</v>
      </c>
      <c r="H1166" s="184">
        <f>L367</f>
        <v>12</v>
      </c>
      <c r="I1166" s="131">
        <f>IF(G1166/H1166&lt;=1.12*SQRT(INPUT!$B$2*F1166/INPUT!AQ33),1,IF(G1166/H1166&lt;=1.4*SQRT(INPUT!$B$2*F1166/INPUT!AQ33),1.12/(G1166/H1166)*SQRT(INPUT!$B$2*F1166/INPUT!AQ33),1.57*SQRT(INPUT!$B$2*F1166/INPUT!AQ33)^2/(G1166/H1166)^2))</f>
        <v>0</v>
      </c>
      <c r="J1166" s="481">
        <f>0.58*INPUT!AQ33*1000*G1166*H1166/10^6</f>
        <v>6972.6428800411295</v>
      </c>
      <c r="K1166" s="184">
        <f>I1166*J1166</f>
        <v>0</v>
      </c>
      <c r="L1166" s="201" t="str">
        <f>IF(1*K1166&gt;=ABS(D1166),"OK","NG")</f>
        <v>NG</v>
      </c>
      <c r="M1166" s="203">
        <f>K1166/ABS(D1166)</f>
        <v>0</v>
      </c>
      <c r="N1166" s="4"/>
      <c r="O1166" s="390"/>
    </row>
    <row r="1167">
      <c r="A1167" s="202">
        <f>A1066</f>
        <v>101</v>
      </c>
      <c r="B1167" s="183">
        <f>(INPUT!BB34+INPUT!BC34+INPUT!BD34)*1.25/2</f>
        <v>-1173.9349772229527</v>
      </c>
      <c r="C1167" s="131">
        <f>COS(ATAN(G125))</f>
        <v>0.992197667229329</v>
      </c>
      <c r="D1167" s="184">
        <f>B1167/C1167</f>
        <v>-1183.1664354756222</v>
      </c>
      <c r="E1167" s="183">
        <f>INPUT!AC34</f>
        <v>1587.5</v>
      </c>
      <c r="F1167" s="184">
        <f>5+5/(E1167/G1066)^2</f>
        <v>20.554591109182219</v>
      </c>
      <c r="G1167" s="184">
        <f>G1066/COS(ATAN(G125))</f>
        <v>2822.01832606489</v>
      </c>
      <c r="H1167" s="184">
        <f>L368</f>
        <v>12</v>
      </c>
      <c r="I1167" s="131">
        <f>IF(G1167/H1167&lt;=1.12*SQRT(INPUT!$B$2*F1167/INPUT!AQ34),1,IF(G1167/H1167&lt;=1.4*SQRT(INPUT!$B$2*F1167/INPUT!AQ34),1.12/(G1167/H1167)*SQRT(INPUT!$B$2*F1167/INPUT!AQ34),1.57*SQRT(INPUT!$B$2*F1167/INPUT!AQ34)^2/(G1167/H1167)^2))</f>
        <v>0</v>
      </c>
      <c r="J1167" s="481">
        <f>0.58*INPUT!AQ34*1000*G1167*H1167/10^6</f>
        <v>6972.6428800411295</v>
      </c>
      <c r="K1167" s="184">
        <f>I1167*J1167</f>
        <v>0</v>
      </c>
      <c r="L1167" s="201" t="str">
        <f>IF(1*K1167&gt;=ABS(D1167),"OK","NG")</f>
        <v>NG</v>
      </c>
      <c r="M1167" s="203">
        <f>K1167/ABS(D1167)</f>
        <v>0</v>
      </c>
      <c r="N1167" s="4"/>
      <c r="O1167" s="390"/>
    </row>
    <row r="1168">
      <c r="A1168" s="202">
        <f>A1067</f>
        <v>101</v>
      </c>
      <c r="B1168" s="183">
        <f>(INPUT!BB35+INPUT!BC35+INPUT!BD35)*1.25/2</f>
        <v>-1173.9349772229527</v>
      </c>
      <c r="C1168" s="131">
        <f>COS(ATAN(G126))</f>
        <v>0.992197667229329</v>
      </c>
      <c r="D1168" s="184">
        <f>B1168/C1168</f>
        <v>-1183.1664354756222</v>
      </c>
      <c r="E1168" s="183">
        <f>INPUT!AC35</f>
        <v>1587.5</v>
      </c>
      <c r="F1168" s="184">
        <f>5+5/(E1168/G1067)^2</f>
        <v>20.554591109182219</v>
      </c>
      <c r="G1168" s="184">
        <f>G1067/COS(ATAN(G126))</f>
        <v>2822.01832606489</v>
      </c>
      <c r="H1168" s="184">
        <f>L369</f>
        <v>12</v>
      </c>
      <c r="I1168" s="131">
        <f>IF(G1168/H1168&lt;=1.12*SQRT(INPUT!$B$2*F1168/INPUT!AQ35),1,IF(G1168/H1168&lt;=1.4*SQRT(INPUT!$B$2*F1168/INPUT!AQ35),1.12/(G1168/H1168)*SQRT(INPUT!$B$2*F1168/INPUT!AQ35),1.57*SQRT(INPUT!$B$2*F1168/INPUT!AQ35)^2/(G1168/H1168)^2))</f>
        <v>0</v>
      </c>
      <c r="J1168" s="481">
        <f>0.58*INPUT!AQ35*1000*G1168*H1168/10^6</f>
        <v>6972.6428800411295</v>
      </c>
      <c r="K1168" s="184">
        <f>I1168*J1168</f>
        <v>0</v>
      </c>
      <c r="L1168" s="201" t="str">
        <f>IF(1*K1168&gt;=ABS(D1168),"OK","NG")</f>
        <v>NG</v>
      </c>
      <c r="M1168" s="203">
        <f>K1168/ABS(D1168)</f>
        <v>0</v>
      </c>
      <c r="N1168" s="4"/>
      <c r="O1168" s="390"/>
    </row>
    <row r="1169">
      <c r="A1169" s="202">
        <f>A1068</f>
        <v>101</v>
      </c>
      <c r="B1169" s="183">
        <f>(INPUT!BB36+INPUT!BC36+INPUT!BD36)*1.25/2</f>
        <v>-1173.9349772229527</v>
      </c>
      <c r="C1169" s="131">
        <f>COS(ATAN(G127))</f>
        <v>0.992197667229329</v>
      </c>
      <c r="D1169" s="184">
        <f>B1169/C1169</f>
        <v>-1183.1664354756222</v>
      </c>
      <c r="E1169" s="183">
        <f>INPUT!AC36</f>
        <v>1587.5</v>
      </c>
      <c r="F1169" s="184">
        <f>5+5/(E1169/G1068)^2</f>
        <v>20.554591109182219</v>
      </c>
      <c r="G1169" s="184">
        <f>G1068/COS(ATAN(G127))</f>
        <v>2822.01832606489</v>
      </c>
      <c r="H1169" s="184">
        <f>L370</f>
        <v>12</v>
      </c>
      <c r="I1169" s="131">
        <f>IF(G1169/H1169&lt;=1.12*SQRT(INPUT!$B$2*F1169/INPUT!AQ36),1,IF(G1169/H1169&lt;=1.4*SQRT(INPUT!$B$2*F1169/INPUT!AQ36),1.12/(G1169/H1169)*SQRT(INPUT!$B$2*F1169/INPUT!AQ36),1.57*SQRT(INPUT!$B$2*F1169/INPUT!AQ36)^2/(G1169/H1169)^2))</f>
        <v>0</v>
      </c>
      <c r="J1169" s="481">
        <f>0.58*INPUT!AQ36*1000*G1169*H1169/10^6</f>
        <v>6972.6428800411295</v>
      </c>
      <c r="K1169" s="184">
        <f>I1169*J1169</f>
        <v>0</v>
      </c>
      <c r="L1169" s="201" t="str">
        <f>IF(1*K1169&gt;=ABS(D1169),"OK","NG")</f>
        <v>NG</v>
      </c>
      <c r="M1169" s="203">
        <f>K1169/ABS(D1169)</f>
        <v>0</v>
      </c>
      <c r="N1169" s="4"/>
      <c r="O1169" s="390"/>
    </row>
    <row r="1170">
      <c r="A1170" s="202">
        <f>A1069</f>
        <v>101</v>
      </c>
      <c r="B1170" s="183">
        <f>(INPUT!BB37+INPUT!BC37+INPUT!BD37)*1.25/2</f>
        <v>-1173.9349772229527</v>
      </c>
      <c r="C1170" s="131">
        <f>COS(ATAN(G128))</f>
        <v>0.992197667229329</v>
      </c>
      <c r="D1170" s="184">
        <f>B1170/C1170</f>
        <v>-1183.1664354756222</v>
      </c>
      <c r="E1170" s="183">
        <f>INPUT!AC37</f>
        <v>1587.5</v>
      </c>
      <c r="F1170" s="184">
        <f>5+5/(E1170/G1069)^2</f>
        <v>20.554591109182219</v>
      </c>
      <c r="G1170" s="184">
        <f>G1069/COS(ATAN(G128))</f>
        <v>2822.01832606489</v>
      </c>
      <c r="H1170" s="184">
        <f>L371</f>
        <v>12</v>
      </c>
      <c r="I1170" s="131">
        <f>IF(G1170/H1170&lt;=1.12*SQRT(INPUT!$B$2*F1170/INPUT!AQ37),1,IF(G1170/H1170&lt;=1.4*SQRT(INPUT!$B$2*F1170/INPUT!AQ37),1.12/(G1170/H1170)*SQRT(INPUT!$B$2*F1170/INPUT!AQ37),1.57*SQRT(INPUT!$B$2*F1170/INPUT!AQ37)^2/(G1170/H1170)^2))</f>
        <v>0</v>
      </c>
      <c r="J1170" s="481">
        <f>0.58*INPUT!AQ37*1000*G1170*H1170/10^6</f>
        <v>6972.6428800411295</v>
      </c>
      <c r="K1170" s="184">
        <f>I1170*J1170</f>
        <v>0</v>
      </c>
      <c r="L1170" s="201" t="str">
        <f>IF(1*K1170&gt;=ABS(D1170),"OK","NG")</f>
        <v>NG</v>
      </c>
      <c r="M1170" s="203">
        <f>K1170/ABS(D1170)</f>
        <v>0</v>
      </c>
      <c r="N1170" s="4"/>
      <c r="O1170" s="390"/>
    </row>
    <row r="1171">
      <c r="A1171" s="202">
        <f>A1070</f>
        <v>101</v>
      </c>
      <c r="B1171" s="183">
        <f>(INPUT!BB38+INPUT!BC38+INPUT!BD38)*1.25/2</f>
        <v>-1173.9349772229527</v>
      </c>
      <c r="C1171" s="131">
        <f>COS(ATAN(G129))</f>
        <v>0.992197667229329</v>
      </c>
      <c r="D1171" s="184">
        <f>B1171/C1171</f>
        <v>-1183.1664354756222</v>
      </c>
      <c r="E1171" s="183">
        <f>INPUT!AC38</f>
        <v>1587.5</v>
      </c>
      <c r="F1171" s="184">
        <f>5+5/(E1171/G1070)^2</f>
        <v>20.554591109182219</v>
      </c>
      <c r="G1171" s="184">
        <f>G1070/COS(ATAN(G129))</f>
        <v>2822.01832606489</v>
      </c>
      <c r="H1171" s="184">
        <f>L372</f>
        <v>12</v>
      </c>
      <c r="I1171" s="131">
        <f>IF(G1171/H1171&lt;=1.12*SQRT(INPUT!$B$2*F1171/INPUT!AQ38),1,IF(G1171/H1171&lt;=1.4*SQRT(INPUT!$B$2*F1171/INPUT!AQ38),1.12/(G1171/H1171)*SQRT(INPUT!$B$2*F1171/INPUT!AQ38),1.57*SQRT(INPUT!$B$2*F1171/INPUT!AQ38)^2/(G1171/H1171)^2))</f>
        <v>0</v>
      </c>
      <c r="J1171" s="481">
        <f>0.58*INPUT!AQ38*1000*G1171*H1171/10^6</f>
        <v>6972.6428800411295</v>
      </c>
      <c r="K1171" s="184">
        <f>I1171*J1171</f>
        <v>0</v>
      </c>
      <c r="L1171" s="201" t="str">
        <f>IF(1*K1171&gt;=ABS(D1171),"OK","NG")</f>
        <v>NG</v>
      </c>
      <c r="M1171" s="203">
        <f>K1171/ABS(D1171)</f>
        <v>0</v>
      </c>
      <c r="N1171" s="4"/>
      <c r="O1171" s="390"/>
    </row>
    <row r="1172">
      <c r="A1172" s="202">
        <f>A1071</f>
        <v>101</v>
      </c>
      <c r="B1172" s="183">
        <f>(INPUT!BB39+INPUT!BC39+INPUT!BD39)*1.25/2</f>
        <v>-1173.9349772229527</v>
      </c>
      <c r="C1172" s="131">
        <f>COS(ATAN(G130))</f>
        <v>0.992197667229329</v>
      </c>
      <c r="D1172" s="184">
        <f>B1172/C1172</f>
        <v>-1183.1664354756222</v>
      </c>
      <c r="E1172" s="183">
        <f>INPUT!AC39</f>
        <v>1587.5</v>
      </c>
      <c r="F1172" s="184">
        <f>5+5/(E1172/G1071)^2</f>
        <v>20.554591109182219</v>
      </c>
      <c r="G1172" s="184">
        <f>G1071/COS(ATAN(G130))</f>
        <v>2822.01832606489</v>
      </c>
      <c r="H1172" s="184">
        <f>L373</f>
        <v>12</v>
      </c>
      <c r="I1172" s="131">
        <f>IF(G1172/H1172&lt;=1.12*SQRT(INPUT!$B$2*F1172/INPUT!AQ39),1,IF(G1172/H1172&lt;=1.4*SQRT(INPUT!$B$2*F1172/INPUT!AQ39),1.12/(G1172/H1172)*SQRT(INPUT!$B$2*F1172/INPUT!AQ39),1.57*SQRT(INPUT!$B$2*F1172/INPUT!AQ39)^2/(G1172/H1172)^2))</f>
        <v>0</v>
      </c>
      <c r="J1172" s="481">
        <f>0.58*INPUT!AQ39*1000*G1172*H1172/10^6</f>
        <v>6972.6428800411295</v>
      </c>
      <c r="K1172" s="184">
        <f>I1172*J1172</f>
        <v>0</v>
      </c>
      <c r="L1172" s="201" t="str">
        <f>IF(1*K1172&gt;=ABS(D1172),"OK","NG")</f>
        <v>NG</v>
      </c>
      <c r="M1172" s="203">
        <f>K1172/ABS(D1172)</f>
        <v>0</v>
      </c>
      <c r="N1172" s="4"/>
      <c r="O1172" s="390"/>
    </row>
    <row r="1173">
      <c r="A1173" s="202">
        <f>A1072</f>
        <v>101</v>
      </c>
      <c r="B1173" s="183">
        <f>(INPUT!BB40+INPUT!BC40+INPUT!BD40)*1.25/2</f>
        <v>-1173.9349772229527</v>
      </c>
      <c r="C1173" s="131">
        <f>COS(ATAN(G131))</f>
        <v>0.992197667229329</v>
      </c>
      <c r="D1173" s="184">
        <f>B1173/C1173</f>
        <v>-1183.1664354756222</v>
      </c>
      <c r="E1173" s="183">
        <f>INPUT!AC40</f>
        <v>1587.5</v>
      </c>
      <c r="F1173" s="184">
        <f>5+5/(E1173/G1072)^2</f>
        <v>20.554591109182219</v>
      </c>
      <c r="G1173" s="184">
        <f>G1072/COS(ATAN(G131))</f>
        <v>2822.01832606489</v>
      </c>
      <c r="H1173" s="184">
        <f>L374</f>
        <v>12</v>
      </c>
      <c r="I1173" s="131">
        <f>IF(G1173/H1173&lt;=1.12*SQRT(INPUT!$B$2*F1173/INPUT!AQ40),1,IF(G1173/H1173&lt;=1.4*SQRT(INPUT!$B$2*F1173/INPUT!AQ40),1.12/(G1173/H1173)*SQRT(INPUT!$B$2*F1173/INPUT!AQ40),1.57*SQRT(INPUT!$B$2*F1173/INPUT!AQ40)^2/(G1173/H1173)^2))</f>
        <v>0</v>
      </c>
      <c r="J1173" s="481">
        <f>0.58*INPUT!AQ40*1000*G1173*H1173/10^6</f>
        <v>6972.6428800411295</v>
      </c>
      <c r="K1173" s="184">
        <f>I1173*J1173</f>
        <v>0</v>
      </c>
      <c r="L1173" s="201" t="str">
        <f>IF(1*K1173&gt;=ABS(D1173),"OK","NG")</f>
        <v>NG</v>
      </c>
      <c r="M1173" s="203">
        <f>K1173/ABS(D1173)</f>
        <v>0</v>
      </c>
      <c r="N1173" s="4"/>
      <c r="O1173" s="390"/>
    </row>
    <row r="1174">
      <c r="A1174" s="202">
        <f>A1073</f>
        <v>101</v>
      </c>
      <c r="B1174" s="183">
        <f>(INPUT!BB41+INPUT!BC41+INPUT!BD41)*1.25/2</f>
        <v>-1173.9349772229527</v>
      </c>
      <c r="C1174" s="131">
        <f>COS(ATAN(G132))</f>
        <v>0.992197667229329</v>
      </c>
      <c r="D1174" s="184">
        <f>B1174/C1174</f>
        <v>-1183.1664354756222</v>
      </c>
      <c r="E1174" s="183">
        <f>INPUT!AC41</f>
        <v>1587.5</v>
      </c>
      <c r="F1174" s="184">
        <f>5+5/(E1174/G1073)^2</f>
        <v>20.554591109182219</v>
      </c>
      <c r="G1174" s="184">
        <f>G1073/COS(ATAN(G132))</f>
        <v>2822.01832606489</v>
      </c>
      <c r="H1174" s="184">
        <f>L375</f>
        <v>12</v>
      </c>
      <c r="I1174" s="131">
        <f>IF(G1174/H1174&lt;=1.12*SQRT(INPUT!$B$2*F1174/INPUT!AQ41),1,IF(G1174/H1174&lt;=1.4*SQRT(INPUT!$B$2*F1174/INPUT!AQ41),1.12/(G1174/H1174)*SQRT(INPUT!$B$2*F1174/INPUT!AQ41),1.57*SQRT(INPUT!$B$2*F1174/INPUT!AQ41)^2/(G1174/H1174)^2))</f>
        <v>0</v>
      </c>
      <c r="J1174" s="481">
        <f>0.58*INPUT!AQ41*1000*G1174*H1174/10^6</f>
        <v>6972.6428800411295</v>
      </c>
      <c r="K1174" s="184">
        <f>I1174*J1174</f>
        <v>0</v>
      </c>
      <c r="L1174" s="201" t="str">
        <f>IF(1*K1174&gt;=ABS(D1174),"OK","NG")</f>
        <v>NG</v>
      </c>
      <c r="M1174" s="203">
        <f>K1174/ABS(D1174)</f>
        <v>0</v>
      </c>
      <c r="N1174" s="4"/>
      <c r="O1174" s="390"/>
    </row>
    <row r="1175">
      <c r="A1175" s="202">
        <f>A1074</f>
        <v>101</v>
      </c>
      <c r="B1175" s="183">
        <f>(INPUT!BB42+INPUT!BC42+INPUT!BD42)*1.25/2</f>
        <v>-1173.9349772229527</v>
      </c>
      <c r="C1175" s="131">
        <f>COS(ATAN(G133))</f>
        <v>0.992197667229329</v>
      </c>
      <c r="D1175" s="184">
        <f>B1175/C1175</f>
        <v>-1183.1664354756222</v>
      </c>
      <c r="E1175" s="183">
        <f>INPUT!AC42</f>
        <v>1587.5</v>
      </c>
      <c r="F1175" s="184">
        <f>5+5/(E1175/G1074)^2</f>
        <v>20.554591109182219</v>
      </c>
      <c r="G1175" s="184">
        <f>G1074/COS(ATAN(G133))</f>
        <v>2822.01832606489</v>
      </c>
      <c r="H1175" s="184">
        <f>L376</f>
        <v>12</v>
      </c>
      <c r="I1175" s="131">
        <f>IF(G1175/H1175&lt;=1.12*SQRT(INPUT!$B$2*F1175/INPUT!AQ42),1,IF(G1175/H1175&lt;=1.4*SQRT(INPUT!$B$2*F1175/INPUT!AQ42),1.12/(G1175/H1175)*SQRT(INPUT!$B$2*F1175/INPUT!AQ42),1.57*SQRT(INPUT!$B$2*F1175/INPUT!AQ42)^2/(G1175/H1175)^2))</f>
        <v>0</v>
      </c>
      <c r="J1175" s="481">
        <f>0.58*INPUT!AQ42*1000*G1175*H1175/10^6</f>
        <v>6972.6428800411295</v>
      </c>
      <c r="K1175" s="184">
        <f>I1175*J1175</f>
        <v>0</v>
      </c>
      <c r="L1175" s="201" t="str">
        <f>IF(1*K1175&gt;=ABS(D1175),"OK","NG")</f>
        <v>NG</v>
      </c>
      <c r="M1175" s="203">
        <f>K1175/ABS(D1175)</f>
        <v>0</v>
      </c>
      <c r="N1175" s="4"/>
      <c r="O1175" s="390"/>
    </row>
    <row r="1176">
      <c r="A1176" s="202">
        <f>A1075</f>
        <v>101</v>
      </c>
      <c r="B1176" s="183">
        <f>(INPUT!BB43+INPUT!BC43+INPUT!BD43)*1.25/2</f>
        <v>-1173.9349772229527</v>
      </c>
      <c r="C1176" s="131">
        <f>COS(ATAN(G134))</f>
        <v>0.992197667229329</v>
      </c>
      <c r="D1176" s="184">
        <f>B1176/C1176</f>
        <v>-1183.1664354756222</v>
      </c>
      <c r="E1176" s="183">
        <f>INPUT!AC43</f>
        <v>1587.5</v>
      </c>
      <c r="F1176" s="184">
        <f>5+5/(E1176/G1075)^2</f>
        <v>20.554591109182219</v>
      </c>
      <c r="G1176" s="184">
        <f>G1075/COS(ATAN(G134))</f>
        <v>2822.01832606489</v>
      </c>
      <c r="H1176" s="184">
        <f>L377</f>
        <v>12</v>
      </c>
      <c r="I1176" s="131">
        <f>IF(G1176/H1176&lt;=1.12*SQRT(INPUT!$B$2*F1176/INPUT!AQ43),1,IF(G1176/H1176&lt;=1.4*SQRT(INPUT!$B$2*F1176/INPUT!AQ43),1.12/(G1176/H1176)*SQRT(INPUT!$B$2*F1176/INPUT!AQ43),1.57*SQRT(INPUT!$B$2*F1176/INPUT!AQ43)^2/(G1176/H1176)^2))</f>
        <v>0</v>
      </c>
      <c r="J1176" s="481">
        <f>0.58*INPUT!AQ43*1000*G1176*H1176/10^6</f>
        <v>6972.6428800411295</v>
      </c>
      <c r="K1176" s="184">
        <f>I1176*J1176</f>
        <v>0</v>
      </c>
      <c r="L1176" s="201" t="str">
        <f>IF(1*K1176&gt;=ABS(D1176),"OK","NG")</f>
        <v>NG</v>
      </c>
      <c r="M1176" s="203">
        <f>K1176/ABS(D1176)</f>
        <v>0</v>
      </c>
      <c r="N1176" s="4"/>
      <c r="O1176" s="390"/>
    </row>
    <row r="1177">
      <c r="A1177" s="202">
        <f>A1076</f>
        <v>101</v>
      </c>
      <c r="B1177" s="183">
        <f>(INPUT!BB44+INPUT!BC44+INPUT!BD44)*1.25/2</f>
        <v>-1173.9349772229527</v>
      </c>
      <c r="C1177" s="131">
        <f>COS(ATAN(G135))</f>
        <v>0.992197667229329</v>
      </c>
      <c r="D1177" s="184">
        <f>B1177/C1177</f>
        <v>-1183.1664354756222</v>
      </c>
      <c r="E1177" s="183">
        <f>INPUT!AC44</f>
        <v>1587.5</v>
      </c>
      <c r="F1177" s="184">
        <f>5+5/(E1177/G1076)^2</f>
        <v>20.554591109182219</v>
      </c>
      <c r="G1177" s="184">
        <f>G1076/COS(ATAN(G135))</f>
        <v>2822.01832606489</v>
      </c>
      <c r="H1177" s="184">
        <f>L378</f>
        <v>12</v>
      </c>
      <c r="I1177" s="131">
        <f>IF(G1177/H1177&lt;=1.12*SQRT(INPUT!$B$2*F1177/INPUT!AQ44),1,IF(G1177/H1177&lt;=1.4*SQRT(INPUT!$B$2*F1177/INPUT!AQ44),1.12/(G1177/H1177)*SQRT(INPUT!$B$2*F1177/INPUT!AQ44),1.57*SQRT(INPUT!$B$2*F1177/INPUT!AQ44)^2/(G1177/H1177)^2))</f>
        <v>0</v>
      </c>
      <c r="J1177" s="481">
        <f>0.58*INPUT!AQ44*1000*G1177*H1177/10^6</f>
        <v>6972.6428800411295</v>
      </c>
      <c r="K1177" s="184">
        <f>I1177*J1177</f>
        <v>0</v>
      </c>
      <c r="L1177" s="201" t="str">
        <f>IF(1*K1177&gt;=ABS(D1177),"OK","NG")</f>
        <v>NG</v>
      </c>
      <c r="M1177" s="203">
        <f>K1177/ABS(D1177)</f>
        <v>0</v>
      </c>
      <c r="N1177" s="4"/>
      <c r="O1177" s="390"/>
    </row>
    <row r="1178">
      <c r="A1178" s="202">
        <f>A1077</f>
        <v>101</v>
      </c>
      <c r="B1178" s="183">
        <f>(INPUT!BB45+INPUT!BC45+INPUT!BD45)*1.25/2</f>
        <v>-1173.9349772229527</v>
      </c>
      <c r="C1178" s="131">
        <f>COS(ATAN(G136))</f>
        <v>0.992197667229329</v>
      </c>
      <c r="D1178" s="184">
        <f>B1178/C1178</f>
        <v>-1183.1664354756222</v>
      </c>
      <c r="E1178" s="183">
        <f>INPUT!AC45</f>
        <v>1587.5</v>
      </c>
      <c r="F1178" s="184">
        <f>5+5/(E1178/G1077)^2</f>
        <v>20.554591109182219</v>
      </c>
      <c r="G1178" s="184">
        <f>G1077/COS(ATAN(G136))</f>
        <v>2822.01832606489</v>
      </c>
      <c r="H1178" s="184">
        <f>L379</f>
        <v>12</v>
      </c>
      <c r="I1178" s="131">
        <f>IF(G1178/H1178&lt;=1.12*SQRT(INPUT!$B$2*F1178/INPUT!AQ45),1,IF(G1178/H1178&lt;=1.4*SQRT(INPUT!$B$2*F1178/INPUT!AQ45),1.12/(G1178/H1178)*SQRT(INPUT!$B$2*F1178/INPUT!AQ45),1.57*SQRT(INPUT!$B$2*F1178/INPUT!AQ45)^2/(G1178/H1178)^2))</f>
        <v>0</v>
      </c>
      <c r="J1178" s="481">
        <f>0.58*INPUT!AQ45*1000*G1178*H1178/10^6</f>
        <v>6972.6428800411295</v>
      </c>
      <c r="K1178" s="184">
        <f>I1178*J1178</f>
        <v>0</v>
      </c>
      <c r="L1178" s="201" t="str">
        <f>IF(1*K1178&gt;=ABS(D1178),"OK","NG")</f>
        <v>NG</v>
      </c>
      <c r="M1178" s="203">
        <f>K1178/ABS(D1178)</f>
        <v>0</v>
      </c>
      <c r="N1178" s="4"/>
      <c r="O1178" s="390"/>
    </row>
    <row r="1179">
      <c r="A1179" s="202">
        <f>A1078</f>
        <v>101</v>
      </c>
      <c r="B1179" s="183">
        <f>(INPUT!BB46+INPUT!BC46+INPUT!BD46)*1.25/2</f>
        <v>-1173.9349772229527</v>
      </c>
      <c r="C1179" s="131">
        <f>COS(ATAN(G137))</f>
        <v>0.992197667229329</v>
      </c>
      <c r="D1179" s="184">
        <f>B1179/C1179</f>
        <v>-1183.1664354756222</v>
      </c>
      <c r="E1179" s="183">
        <f>INPUT!AC46</f>
        <v>1587.5</v>
      </c>
      <c r="F1179" s="184">
        <f>5+5/(E1179/G1078)^2</f>
        <v>20.554591109182219</v>
      </c>
      <c r="G1179" s="184">
        <f>G1078/COS(ATAN(G137))</f>
        <v>2822.01832606489</v>
      </c>
      <c r="H1179" s="184">
        <f>L380</f>
        <v>12</v>
      </c>
      <c r="I1179" s="131">
        <f>IF(G1179/H1179&lt;=1.12*SQRT(INPUT!$B$2*F1179/INPUT!AQ46),1,IF(G1179/H1179&lt;=1.4*SQRT(INPUT!$B$2*F1179/INPUT!AQ46),1.12/(G1179/H1179)*SQRT(INPUT!$B$2*F1179/INPUT!AQ46),1.57*SQRT(INPUT!$B$2*F1179/INPUT!AQ46)^2/(G1179/H1179)^2))</f>
        <v>0</v>
      </c>
      <c r="J1179" s="481">
        <f>0.58*INPUT!AQ46*1000*G1179*H1179/10^6</f>
        <v>6972.6428800411295</v>
      </c>
      <c r="K1179" s="184">
        <f>I1179*J1179</f>
        <v>0</v>
      </c>
      <c r="L1179" s="201" t="str">
        <f>IF(1*K1179&gt;=ABS(D1179),"OK","NG")</f>
        <v>NG</v>
      </c>
      <c r="M1179" s="203">
        <f>K1179/ABS(D1179)</f>
        <v>0</v>
      </c>
      <c r="N1179" s="4"/>
      <c r="O1179" s="390"/>
    </row>
    <row r="1180">
      <c r="A1180" s="202">
        <f>A1079</f>
        <v>101</v>
      </c>
      <c r="B1180" s="183">
        <f>(INPUT!BB47+INPUT!BC47+INPUT!BD47)*1.25/2</f>
        <v>-1173.9349772229527</v>
      </c>
      <c r="C1180" s="131">
        <f>COS(ATAN(G138))</f>
        <v>0.992197667229329</v>
      </c>
      <c r="D1180" s="184">
        <f>B1180/C1180</f>
        <v>-1183.1664354756222</v>
      </c>
      <c r="E1180" s="183">
        <f>INPUT!AC47</f>
        <v>1587.5</v>
      </c>
      <c r="F1180" s="184">
        <f>5+5/(E1180/G1079)^2</f>
        <v>20.554591109182219</v>
      </c>
      <c r="G1180" s="184">
        <f>G1079/COS(ATAN(G138))</f>
        <v>2822.01832606489</v>
      </c>
      <c r="H1180" s="184">
        <f>L381</f>
        <v>12</v>
      </c>
      <c r="I1180" s="131">
        <f>IF(G1180/H1180&lt;=1.12*SQRT(INPUT!$B$2*F1180/INPUT!AQ47),1,IF(G1180/H1180&lt;=1.4*SQRT(INPUT!$B$2*F1180/INPUT!AQ47),1.12/(G1180/H1180)*SQRT(INPUT!$B$2*F1180/INPUT!AQ47),1.57*SQRT(INPUT!$B$2*F1180/INPUT!AQ47)^2/(G1180/H1180)^2))</f>
        <v>0</v>
      </c>
      <c r="J1180" s="481">
        <f>0.58*INPUT!AQ47*1000*G1180*H1180/10^6</f>
        <v>6972.6428800411295</v>
      </c>
      <c r="K1180" s="184">
        <f>I1180*J1180</f>
        <v>0</v>
      </c>
      <c r="L1180" s="201" t="str">
        <f>IF(1*K1180&gt;=ABS(D1180),"OK","NG")</f>
        <v>NG</v>
      </c>
      <c r="M1180" s="203">
        <f>K1180/ABS(D1180)</f>
        <v>0</v>
      </c>
      <c r="N1180" s="4"/>
      <c r="O1180" s="390"/>
    </row>
    <row r="1181">
      <c r="A1181" s="202">
        <f>A1080</f>
        <v>101</v>
      </c>
      <c r="B1181" s="183">
        <f>(INPUT!BB48+INPUT!BC48+INPUT!BD48)*1.25/2</f>
        <v>-1173.9349772229527</v>
      </c>
      <c r="C1181" s="131">
        <f>COS(ATAN(G139))</f>
        <v>0.992197667229329</v>
      </c>
      <c r="D1181" s="184">
        <f>B1181/C1181</f>
        <v>-1183.1664354756222</v>
      </c>
      <c r="E1181" s="183">
        <f>INPUT!AC48</f>
        <v>1587.5</v>
      </c>
      <c r="F1181" s="184">
        <f>5+5/(E1181/G1080)^2</f>
        <v>20.554591109182219</v>
      </c>
      <c r="G1181" s="184">
        <f>G1080/COS(ATAN(G139))</f>
        <v>2822.01832606489</v>
      </c>
      <c r="H1181" s="184">
        <f>L382</f>
        <v>12</v>
      </c>
      <c r="I1181" s="131">
        <f>IF(G1181/H1181&lt;=1.12*SQRT(INPUT!$B$2*F1181/INPUT!AQ48),1,IF(G1181/H1181&lt;=1.4*SQRT(INPUT!$B$2*F1181/INPUT!AQ48),1.12/(G1181/H1181)*SQRT(INPUT!$B$2*F1181/INPUT!AQ48),1.57*SQRT(INPUT!$B$2*F1181/INPUT!AQ48)^2/(G1181/H1181)^2))</f>
        <v>0</v>
      </c>
      <c r="J1181" s="481">
        <f>0.58*INPUT!AQ48*1000*G1181*H1181/10^6</f>
        <v>6972.6428800411295</v>
      </c>
      <c r="K1181" s="184">
        <f>I1181*J1181</f>
        <v>0</v>
      </c>
      <c r="L1181" s="201" t="str">
        <f>IF(1*K1181&gt;=ABS(D1181),"OK","NG")</f>
        <v>NG</v>
      </c>
      <c r="M1181" s="203">
        <f>K1181/ABS(D1181)</f>
        <v>0</v>
      </c>
      <c r="N1181" s="4"/>
      <c r="O1181" s="390"/>
    </row>
    <row r="1182">
      <c r="A1182" s="202">
        <f>A1081</f>
        <v>101</v>
      </c>
      <c r="B1182" s="183">
        <f>(INPUT!BB49+INPUT!BC49+INPUT!BD49)*1.25/2</f>
        <v>-1173.9349772229527</v>
      </c>
      <c r="C1182" s="131">
        <f>COS(ATAN(G140))</f>
        <v>0.992197667229329</v>
      </c>
      <c r="D1182" s="184">
        <f>B1182/C1182</f>
        <v>-1183.1664354756222</v>
      </c>
      <c r="E1182" s="183">
        <f>INPUT!AC49</f>
        <v>1587.5</v>
      </c>
      <c r="F1182" s="184">
        <f>5+5/(E1182/G1081)^2</f>
        <v>20.554591109182219</v>
      </c>
      <c r="G1182" s="184">
        <f>G1081/COS(ATAN(G140))</f>
        <v>2822.01832606489</v>
      </c>
      <c r="H1182" s="184">
        <f>L383</f>
        <v>12</v>
      </c>
      <c r="I1182" s="131">
        <f>IF(G1182/H1182&lt;=1.12*SQRT(INPUT!$B$2*F1182/INPUT!AQ49),1,IF(G1182/H1182&lt;=1.4*SQRT(INPUT!$B$2*F1182/INPUT!AQ49),1.12/(G1182/H1182)*SQRT(INPUT!$B$2*F1182/INPUT!AQ49),1.57*SQRT(INPUT!$B$2*F1182/INPUT!AQ49)^2/(G1182/H1182)^2))</f>
        <v>0</v>
      </c>
      <c r="J1182" s="481">
        <f>0.58*INPUT!AQ49*1000*G1182*H1182/10^6</f>
        <v>6972.6428800411295</v>
      </c>
      <c r="K1182" s="184">
        <f>I1182*J1182</f>
        <v>0</v>
      </c>
      <c r="L1182" s="201" t="str">
        <f>IF(1*K1182&gt;=ABS(D1182),"OK","NG")</f>
        <v>NG</v>
      </c>
      <c r="M1182" s="203">
        <f>K1182/ABS(D1182)</f>
        <v>0</v>
      </c>
      <c r="N1182" s="4"/>
      <c r="O1182" s="390"/>
    </row>
    <row r="1183">
      <c r="A1183" s="202">
        <f>A1082</f>
        <v>101</v>
      </c>
      <c r="B1183" s="183">
        <f>(INPUT!BB50+INPUT!BC50+INPUT!BD50)*1.25/2</f>
        <v>-1173.9349772229527</v>
      </c>
      <c r="C1183" s="131">
        <f>COS(ATAN(G141))</f>
        <v>0.992197667229329</v>
      </c>
      <c r="D1183" s="184">
        <f>B1183/C1183</f>
        <v>-1183.1664354756222</v>
      </c>
      <c r="E1183" s="183">
        <f>INPUT!AC50</f>
        <v>1587.5</v>
      </c>
      <c r="F1183" s="184">
        <f>5+5/(E1183/G1082)^2</f>
        <v>20.554591109182219</v>
      </c>
      <c r="G1183" s="184">
        <f>G1082/COS(ATAN(G141))</f>
        <v>2822.01832606489</v>
      </c>
      <c r="H1183" s="184">
        <f>L384</f>
        <v>12</v>
      </c>
      <c r="I1183" s="131">
        <f>IF(G1183/H1183&lt;=1.12*SQRT(INPUT!$B$2*F1183/INPUT!AQ50),1,IF(G1183/H1183&lt;=1.4*SQRT(INPUT!$B$2*F1183/INPUT!AQ50),1.12/(G1183/H1183)*SQRT(INPUT!$B$2*F1183/INPUT!AQ50),1.57*SQRT(INPUT!$B$2*F1183/INPUT!AQ50)^2/(G1183/H1183)^2))</f>
        <v>0</v>
      </c>
      <c r="J1183" s="481">
        <f>0.58*INPUT!AQ50*1000*G1183*H1183/10^6</f>
        <v>6972.6428800411295</v>
      </c>
      <c r="K1183" s="184">
        <f>I1183*J1183</f>
        <v>0</v>
      </c>
      <c r="L1183" s="201" t="str">
        <f>IF(1*K1183&gt;=ABS(D1183),"OK","NG")</f>
        <v>NG</v>
      </c>
      <c r="M1183" s="203">
        <f>K1183/ABS(D1183)</f>
        <v>0</v>
      </c>
      <c r="N1183" s="4"/>
      <c r="O1183" s="390"/>
    </row>
    <row r="1184">
      <c r="A1184" s="202">
        <f>A1083</f>
        <v>101</v>
      </c>
      <c r="B1184" s="183">
        <f>(INPUT!BB51+INPUT!BC51+INPUT!BD51)*1.25/2</f>
        <v>-1173.9349772229527</v>
      </c>
      <c r="C1184" s="131">
        <f>COS(ATAN(G142))</f>
        <v>0.992197667229329</v>
      </c>
      <c r="D1184" s="184">
        <f>B1184/C1184</f>
        <v>-1183.1664354756222</v>
      </c>
      <c r="E1184" s="183">
        <f>INPUT!AC51</f>
        <v>1587.5</v>
      </c>
      <c r="F1184" s="184">
        <f>5+5/(E1184/G1083)^2</f>
        <v>20.554591109182219</v>
      </c>
      <c r="G1184" s="184">
        <f>G1083/COS(ATAN(G142))</f>
        <v>2822.01832606489</v>
      </c>
      <c r="H1184" s="184">
        <f>L385</f>
        <v>12</v>
      </c>
      <c r="I1184" s="131">
        <f>IF(G1184/H1184&lt;=1.12*SQRT(INPUT!$B$2*F1184/INPUT!AQ51),1,IF(G1184/H1184&lt;=1.4*SQRT(INPUT!$B$2*F1184/INPUT!AQ51),1.12/(G1184/H1184)*SQRT(INPUT!$B$2*F1184/INPUT!AQ51),1.57*SQRT(INPUT!$B$2*F1184/INPUT!AQ51)^2/(G1184/H1184)^2))</f>
        <v>0</v>
      </c>
      <c r="J1184" s="481">
        <f>0.58*INPUT!AQ51*1000*G1184*H1184/10^6</f>
        <v>6972.6428800411295</v>
      </c>
      <c r="K1184" s="184">
        <f>I1184*J1184</f>
        <v>0</v>
      </c>
      <c r="L1184" s="201" t="str">
        <f>IF(1*K1184&gt;=ABS(D1184),"OK","NG")</f>
        <v>NG</v>
      </c>
      <c r="M1184" s="203">
        <f>K1184/ABS(D1184)</f>
        <v>0</v>
      </c>
      <c r="N1184" s="4"/>
      <c r="O1184" s="390"/>
    </row>
    <row r="1185">
      <c r="A1185" s="202">
        <f>A1084</f>
        <v>101</v>
      </c>
      <c r="B1185" s="183">
        <f>(INPUT!BB52+INPUT!BC52+INPUT!BD52)*1.25/2</f>
        <v>-1173.9349772229527</v>
      </c>
      <c r="C1185" s="131">
        <f>COS(ATAN(G143))</f>
        <v>0.992197667229329</v>
      </c>
      <c r="D1185" s="184">
        <f>B1185/C1185</f>
        <v>-1183.1664354756222</v>
      </c>
      <c r="E1185" s="183">
        <f>INPUT!AC52</f>
        <v>1587.5</v>
      </c>
      <c r="F1185" s="184">
        <f>5+5/(E1185/G1084)^2</f>
        <v>20.554591109182219</v>
      </c>
      <c r="G1185" s="184">
        <f>G1084/COS(ATAN(G143))</f>
        <v>2822.01832606489</v>
      </c>
      <c r="H1185" s="184">
        <f>L386</f>
        <v>12</v>
      </c>
      <c r="I1185" s="131">
        <f>IF(G1185/H1185&lt;=1.12*SQRT(INPUT!$B$2*F1185/INPUT!AQ52),1,IF(G1185/H1185&lt;=1.4*SQRT(INPUT!$B$2*F1185/INPUT!AQ52),1.12/(G1185/H1185)*SQRT(INPUT!$B$2*F1185/INPUT!AQ52),1.57*SQRT(INPUT!$B$2*F1185/INPUT!AQ52)^2/(G1185/H1185)^2))</f>
        <v>0</v>
      </c>
      <c r="J1185" s="481">
        <f>0.58*INPUT!AQ52*1000*G1185*H1185/10^6</f>
        <v>6972.6428800411295</v>
      </c>
      <c r="K1185" s="184">
        <f>I1185*J1185</f>
        <v>0</v>
      </c>
      <c r="L1185" s="201" t="str">
        <f>IF(1*K1185&gt;=ABS(D1185),"OK","NG")</f>
        <v>NG</v>
      </c>
      <c r="M1185" s="203">
        <f>K1185/ABS(D1185)</f>
        <v>0</v>
      </c>
      <c r="N1185" s="4"/>
      <c r="O1185" s="390"/>
    </row>
    <row r="1186">
      <c r="A1186" s="202">
        <f>A1085</f>
        <v>101</v>
      </c>
      <c r="B1186" s="183">
        <f>(INPUT!BB53+INPUT!BC53+INPUT!BD53)*1.25/2</f>
        <v>-1173.9349772229527</v>
      </c>
      <c r="C1186" s="131">
        <f>COS(ATAN(G144))</f>
        <v>0.992197667229329</v>
      </c>
      <c r="D1186" s="184">
        <f>B1186/C1186</f>
        <v>-1183.1664354756222</v>
      </c>
      <c r="E1186" s="183">
        <f>INPUT!AC53</f>
        <v>1587.5</v>
      </c>
      <c r="F1186" s="184">
        <f>5+5/(E1186/G1085)^2</f>
        <v>20.554591109182219</v>
      </c>
      <c r="G1186" s="184">
        <f>G1085/COS(ATAN(G144))</f>
        <v>2822.01832606489</v>
      </c>
      <c r="H1186" s="184">
        <f>L387</f>
        <v>12</v>
      </c>
      <c r="I1186" s="131">
        <f>IF(G1186/H1186&lt;=1.12*SQRT(INPUT!$B$2*F1186/INPUT!AQ53),1,IF(G1186/H1186&lt;=1.4*SQRT(INPUT!$B$2*F1186/INPUT!AQ53),1.12/(G1186/H1186)*SQRT(INPUT!$B$2*F1186/INPUT!AQ53),1.57*SQRT(INPUT!$B$2*F1186/INPUT!AQ53)^2/(G1186/H1186)^2))</f>
        <v>0</v>
      </c>
      <c r="J1186" s="481">
        <f>0.58*INPUT!AQ53*1000*G1186*H1186/10^6</f>
        <v>6972.6428800411295</v>
      </c>
      <c r="K1186" s="184">
        <f>I1186*J1186</f>
        <v>0</v>
      </c>
      <c r="L1186" s="201" t="str">
        <f>IF(1*K1186&gt;=ABS(D1186),"OK","NG")</f>
        <v>NG</v>
      </c>
      <c r="M1186" s="203">
        <f>K1186/ABS(D1186)</f>
        <v>0</v>
      </c>
      <c r="N1186" s="4"/>
      <c r="O1186" s="390"/>
    </row>
    <row r="1187">
      <c r="A1187" s="202">
        <f>A1086</f>
        <v>101</v>
      </c>
      <c r="B1187" s="183">
        <f>(INPUT!BB54+INPUT!BC54+INPUT!BD54)*1.25/2</f>
        <v>-1173.9349772229527</v>
      </c>
      <c r="C1187" s="131">
        <f>COS(ATAN(G145))</f>
        <v>0.992197667229329</v>
      </c>
      <c r="D1187" s="184">
        <f>B1187/C1187</f>
        <v>-1183.1664354756222</v>
      </c>
      <c r="E1187" s="183">
        <f>INPUT!AC54</f>
        <v>1587.5</v>
      </c>
      <c r="F1187" s="184">
        <f>5+5/(E1187/G1086)^2</f>
        <v>20.554591109182219</v>
      </c>
      <c r="G1187" s="184">
        <f>G1086/COS(ATAN(G145))</f>
        <v>2822.01832606489</v>
      </c>
      <c r="H1187" s="184">
        <f>L388</f>
        <v>12</v>
      </c>
      <c r="I1187" s="131">
        <f>IF(G1187/H1187&lt;=1.12*SQRT(INPUT!$B$2*F1187/INPUT!AQ54),1,IF(G1187/H1187&lt;=1.4*SQRT(INPUT!$B$2*F1187/INPUT!AQ54),1.12/(G1187/H1187)*SQRT(INPUT!$B$2*F1187/INPUT!AQ54),1.57*SQRT(INPUT!$B$2*F1187/INPUT!AQ54)^2/(G1187/H1187)^2))</f>
        <v>0</v>
      </c>
      <c r="J1187" s="481">
        <f>0.58*INPUT!AQ54*1000*G1187*H1187/10^6</f>
        <v>6972.6428800411295</v>
      </c>
      <c r="K1187" s="184">
        <f>I1187*J1187</f>
        <v>0</v>
      </c>
      <c r="L1187" s="201" t="str">
        <f>IF(1*K1187&gt;=ABS(D1187),"OK","NG")</f>
        <v>NG</v>
      </c>
      <c r="M1187" s="203">
        <f>K1187/ABS(D1187)</f>
        <v>0</v>
      </c>
      <c r="N1187" s="4"/>
      <c r="O1187" s="390"/>
    </row>
    <row r="1188">
      <c r="A1188" s="202">
        <f>A1087</f>
        <v>101</v>
      </c>
      <c r="B1188" s="183">
        <f>(INPUT!BB55+INPUT!BC55+INPUT!BD55)*1.25/2</f>
        <v>-1173.9349772229527</v>
      </c>
      <c r="C1188" s="131">
        <f>COS(ATAN(G146))</f>
        <v>0.992197667229329</v>
      </c>
      <c r="D1188" s="184">
        <f>B1188/C1188</f>
        <v>-1183.1664354756222</v>
      </c>
      <c r="E1188" s="183">
        <f>INPUT!AC55</f>
        <v>1587.5</v>
      </c>
      <c r="F1188" s="184">
        <f>5+5/(E1188/G1087)^2</f>
        <v>20.554591109182219</v>
      </c>
      <c r="G1188" s="184">
        <f>G1087/COS(ATAN(G146))</f>
        <v>2822.01832606489</v>
      </c>
      <c r="H1188" s="184">
        <f>L389</f>
        <v>12</v>
      </c>
      <c r="I1188" s="131">
        <f>IF(G1188/H1188&lt;=1.12*SQRT(INPUT!$B$2*F1188/INPUT!AQ55),1,IF(G1188/H1188&lt;=1.4*SQRT(INPUT!$B$2*F1188/INPUT!AQ55),1.12/(G1188/H1188)*SQRT(INPUT!$B$2*F1188/INPUT!AQ55),1.57*SQRT(INPUT!$B$2*F1188/INPUT!AQ55)^2/(G1188/H1188)^2))</f>
        <v>0</v>
      </c>
      <c r="J1188" s="481">
        <f>0.58*INPUT!AQ55*1000*G1188*H1188/10^6</f>
        <v>6972.6428800411295</v>
      </c>
      <c r="K1188" s="184">
        <f>I1188*J1188</f>
        <v>0</v>
      </c>
      <c r="L1188" s="201" t="str">
        <f>IF(1*K1188&gt;=ABS(D1188),"OK","NG")</f>
        <v>NG</v>
      </c>
      <c r="M1188" s="203">
        <f>K1188/ABS(D1188)</f>
        <v>0</v>
      </c>
      <c r="N1188" s="4"/>
      <c r="O1188" s="390"/>
    </row>
    <row r="1189">
      <c r="A1189" s="202">
        <f>A1088</f>
        <v>101</v>
      </c>
      <c r="B1189" s="183">
        <f>(INPUT!BB56+INPUT!BC56+INPUT!BD56)*1.25/2</f>
        <v>-1173.9349772229527</v>
      </c>
      <c r="C1189" s="131">
        <f>COS(ATAN(G147))</f>
        <v>0.992197667229329</v>
      </c>
      <c r="D1189" s="184">
        <f>B1189/C1189</f>
        <v>-1183.1664354756222</v>
      </c>
      <c r="E1189" s="183">
        <f>INPUT!AC56</f>
        <v>1587.5</v>
      </c>
      <c r="F1189" s="184">
        <f>5+5/(E1189/G1088)^2</f>
        <v>20.554591109182219</v>
      </c>
      <c r="G1189" s="184">
        <f>G1088/COS(ATAN(G147))</f>
        <v>2822.01832606489</v>
      </c>
      <c r="H1189" s="184">
        <f>L390</f>
        <v>12</v>
      </c>
      <c r="I1189" s="131">
        <f>IF(G1189/H1189&lt;=1.12*SQRT(INPUT!$B$2*F1189/INPUT!AQ56),1,IF(G1189/H1189&lt;=1.4*SQRT(INPUT!$B$2*F1189/INPUT!AQ56),1.12/(G1189/H1189)*SQRT(INPUT!$B$2*F1189/INPUT!AQ56),1.57*SQRT(INPUT!$B$2*F1189/INPUT!AQ56)^2/(G1189/H1189)^2))</f>
        <v>0</v>
      </c>
      <c r="J1189" s="481">
        <f>0.58*INPUT!AQ56*1000*G1189*H1189/10^6</f>
        <v>6972.6428800411295</v>
      </c>
      <c r="K1189" s="184">
        <f>I1189*J1189</f>
        <v>0</v>
      </c>
      <c r="L1189" s="201" t="str">
        <f>IF(1*K1189&gt;=ABS(D1189),"OK","NG")</f>
        <v>NG</v>
      </c>
      <c r="M1189" s="203">
        <f>K1189/ABS(D1189)</f>
        <v>0</v>
      </c>
      <c r="N1189" s="4"/>
      <c r="O1189" s="390"/>
    </row>
    <row r="1190">
      <c r="A1190" s="202">
        <f>A1089</f>
        <v>101</v>
      </c>
      <c r="B1190" s="183">
        <f>(INPUT!BB57+INPUT!BC57+INPUT!BD57)*1.25/2</f>
        <v>-1173.9349772229527</v>
      </c>
      <c r="C1190" s="131">
        <f>COS(ATAN(G148))</f>
        <v>0.992197667229329</v>
      </c>
      <c r="D1190" s="184">
        <f>B1190/C1190</f>
        <v>-1183.1664354756222</v>
      </c>
      <c r="E1190" s="183">
        <f>INPUT!AC57</f>
        <v>1587.5</v>
      </c>
      <c r="F1190" s="184">
        <f>5+5/(E1190/G1089)^2</f>
        <v>20.554591109182219</v>
      </c>
      <c r="G1190" s="184">
        <f>G1089/COS(ATAN(G148))</f>
        <v>2822.01832606489</v>
      </c>
      <c r="H1190" s="184">
        <f>L391</f>
        <v>12</v>
      </c>
      <c r="I1190" s="131">
        <f>IF(G1190/H1190&lt;=1.12*SQRT(INPUT!$B$2*F1190/INPUT!AQ57),1,IF(G1190/H1190&lt;=1.4*SQRT(INPUT!$B$2*F1190/INPUT!AQ57),1.12/(G1190/H1190)*SQRT(INPUT!$B$2*F1190/INPUT!AQ57),1.57*SQRT(INPUT!$B$2*F1190/INPUT!AQ57)^2/(G1190/H1190)^2))</f>
        <v>0</v>
      </c>
      <c r="J1190" s="481">
        <f>0.58*INPUT!AQ57*1000*G1190*H1190/10^6</f>
        <v>6972.6428800411295</v>
      </c>
      <c r="K1190" s="184">
        <f>I1190*J1190</f>
        <v>0</v>
      </c>
      <c r="L1190" s="201" t="str">
        <f>IF(1*K1190&gt;=ABS(D1190),"OK","NG")</f>
        <v>NG</v>
      </c>
      <c r="M1190" s="203">
        <f>K1190/ABS(D1190)</f>
        <v>0</v>
      </c>
      <c r="N1190" s="4"/>
      <c r="O1190" s="390"/>
    </row>
    <row r="1191">
      <c r="A1191" s="202">
        <f>A1090</f>
        <v>101</v>
      </c>
      <c r="B1191" s="183">
        <f>(INPUT!BB58+INPUT!BC58+INPUT!BD58)*1.25/2</f>
        <v>-1173.9349772229527</v>
      </c>
      <c r="C1191" s="131">
        <f>COS(ATAN(G149))</f>
        <v>0.992197667229329</v>
      </c>
      <c r="D1191" s="184">
        <f>B1191/C1191</f>
        <v>-1183.1664354756222</v>
      </c>
      <c r="E1191" s="183">
        <f>INPUT!AC58</f>
        <v>1587.5</v>
      </c>
      <c r="F1191" s="184">
        <f>5+5/(E1191/G1090)^2</f>
        <v>20.554591109182219</v>
      </c>
      <c r="G1191" s="184">
        <f>G1090/COS(ATAN(G149))</f>
        <v>2822.01832606489</v>
      </c>
      <c r="H1191" s="184">
        <f>L392</f>
        <v>12</v>
      </c>
      <c r="I1191" s="131">
        <f>IF(G1191/H1191&lt;=1.12*SQRT(INPUT!$B$2*F1191/INPUT!AQ58),1,IF(G1191/H1191&lt;=1.4*SQRT(INPUT!$B$2*F1191/INPUT!AQ58),1.12/(G1191/H1191)*SQRT(INPUT!$B$2*F1191/INPUT!AQ58),1.57*SQRT(INPUT!$B$2*F1191/INPUT!AQ58)^2/(G1191/H1191)^2))</f>
        <v>0</v>
      </c>
      <c r="J1191" s="481">
        <f>0.58*INPUT!AQ58*1000*G1191*H1191/10^6</f>
        <v>6972.6428800411295</v>
      </c>
      <c r="K1191" s="184">
        <f>I1191*J1191</f>
        <v>0</v>
      </c>
      <c r="L1191" s="201" t="str">
        <f>IF(1*K1191&gt;=ABS(D1191),"OK","NG")</f>
        <v>NG</v>
      </c>
      <c r="M1191" s="203">
        <f>K1191/ABS(D1191)</f>
        <v>0</v>
      </c>
      <c r="N1191" s="4"/>
      <c r="O1191" s="390"/>
    </row>
    <row r="1192">
      <c r="A1192" s="202">
        <f>A1091</f>
        <v>101</v>
      </c>
      <c r="B1192" s="183">
        <f>(INPUT!BB59+INPUT!BC59+INPUT!BD59)*1.25/2</f>
        <v>-1173.9349772229527</v>
      </c>
      <c r="C1192" s="131">
        <f>COS(ATAN(G150))</f>
        <v>0.992197667229329</v>
      </c>
      <c r="D1192" s="184">
        <f>B1192/C1192</f>
        <v>-1183.1664354756222</v>
      </c>
      <c r="E1192" s="183">
        <f>INPUT!AC59</f>
        <v>1587.5</v>
      </c>
      <c r="F1192" s="184">
        <f>5+5/(E1192/G1091)^2</f>
        <v>20.554591109182219</v>
      </c>
      <c r="G1192" s="184">
        <f>G1091/COS(ATAN(G150))</f>
        <v>2822.01832606489</v>
      </c>
      <c r="H1192" s="184">
        <f>L393</f>
        <v>12</v>
      </c>
      <c r="I1192" s="131">
        <f>IF(G1192/H1192&lt;=1.12*SQRT(INPUT!$B$2*F1192/INPUT!AQ59),1,IF(G1192/H1192&lt;=1.4*SQRT(INPUT!$B$2*F1192/INPUT!AQ59),1.12/(G1192/H1192)*SQRT(INPUT!$B$2*F1192/INPUT!AQ59),1.57*SQRT(INPUT!$B$2*F1192/INPUT!AQ59)^2/(G1192/H1192)^2))</f>
        <v>0</v>
      </c>
      <c r="J1192" s="481">
        <f>0.58*INPUT!AQ59*1000*G1192*H1192/10^6</f>
        <v>6972.6428800411295</v>
      </c>
      <c r="K1192" s="184">
        <f>I1192*J1192</f>
        <v>0</v>
      </c>
      <c r="L1192" s="201" t="str">
        <f>IF(1*K1192&gt;=ABS(D1192),"OK","NG")</f>
        <v>NG</v>
      </c>
      <c r="M1192" s="203">
        <f>K1192/ABS(D1192)</f>
        <v>0</v>
      </c>
      <c r="N1192" s="4"/>
      <c r="O1192" s="390"/>
    </row>
    <row r="1193">
      <c r="A1193" s="202">
        <f>A1092</f>
        <v>101</v>
      </c>
      <c r="B1193" s="183">
        <f>(INPUT!BB60+INPUT!BC60+INPUT!BD60)*1.25/2</f>
        <v>-1173.9349772229527</v>
      </c>
      <c r="C1193" s="131">
        <f>COS(ATAN(G151))</f>
        <v>0.992197667229329</v>
      </c>
      <c r="D1193" s="184">
        <f>B1193/C1193</f>
        <v>-1183.1664354756222</v>
      </c>
      <c r="E1193" s="183">
        <f>INPUT!AC60</f>
        <v>1587.5</v>
      </c>
      <c r="F1193" s="184">
        <f>5+5/(E1193/G1092)^2</f>
        <v>20.554591109182219</v>
      </c>
      <c r="G1193" s="184">
        <f>G1092/COS(ATAN(G151))</f>
        <v>2822.01832606489</v>
      </c>
      <c r="H1193" s="184">
        <f>L394</f>
        <v>12</v>
      </c>
      <c r="I1193" s="131">
        <f>IF(G1193/H1193&lt;=1.12*SQRT(INPUT!$B$2*F1193/INPUT!AQ60),1,IF(G1193/H1193&lt;=1.4*SQRT(INPUT!$B$2*F1193/INPUT!AQ60),1.12/(G1193/H1193)*SQRT(INPUT!$B$2*F1193/INPUT!AQ60),1.57*SQRT(INPUT!$B$2*F1193/INPUT!AQ60)^2/(G1193/H1193)^2))</f>
        <v>0</v>
      </c>
      <c r="J1193" s="481">
        <f>0.58*INPUT!AQ60*1000*G1193*H1193/10^6</f>
        <v>6972.6428800411295</v>
      </c>
      <c r="K1193" s="184">
        <f>I1193*J1193</f>
        <v>0</v>
      </c>
      <c r="L1193" s="201" t="str">
        <f>IF(1*K1193&gt;=ABS(D1193),"OK","NG")</f>
        <v>NG</v>
      </c>
      <c r="M1193" s="203">
        <f>K1193/ABS(D1193)</f>
        <v>0</v>
      </c>
      <c r="N1193" s="4"/>
      <c r="O1193" s="390"/>
    </row>
    <row r="1194">
      <c r="A1194" s="202">
        <f>A1093</f>
        <v>101</v>
      </c>
      <c r="B1194" s="183">
        <f>(INPUT!BB61+INPUT!BC61+INPUT!BD61)*1.25/2</f>
        <v>-1173.9349772229527</v>
      </c>
      <c r="C1194" s="131">
        <f>COS(ATAN(G152))</f>
        <v>0.992197667229329</v>
      </c>
      <c r="D1194" s="184">
        <f>B1194/C1194</f>
        <v>-1183.1664354756222</v>
      </c>
      <c r="E1194" s="183">
        <f>INPUT!AC61</f>
        <v>1587.5</v>
      </c>
      <c r="F1194" s="184">
        <f>5+5/(E1194/G1093)^2</f>
        <v>20.554591109182219</v>
      </c>
      <c r="G1194" s="184">
        <f>G1093/COS(ATAN(G152))</f>
        <v>2822.01832606489</v>
      </c>
      <c r="H1194" s="184">
        <f>L395</f>
        <v>12</v>
      </c>
      <c r="I1194" s="131">
        <f>IF(G1194/H1194&lt;=1.12*SQRT(INPUT!$B$2*F1194/INPUT!AQ61),1,IF(G1194/H1194&lt;=1.4*SQRT(INPUT!$B$2*F1194/INPUT!AQ61),1.12/(G1194/H1194)*SQRT(INPUT!$B$2*F1194/INPUT!AQ61),1.57*SQRT(INPUT!$B$2*F1194/INPUT!AQ61)^2/(G1194/H1194)^2))</f>
        <v>0</v>
      </c>
      <c r="J1194" s="481">
        <f>0.58*INPUT!AQ61*1000*G1194*H1194/10^6</f>
        <v>6972.6428800411295</v>
      </c>
      <c r="K1194" s="184">
        <f>I1194*J1194</f>
        <v>0</v>
      </c>
      <c r="L1194" s="201" t="str">
        <f>IF(1*K1194&gt;=ABS(D1194),"OK","NG")</f>
        <v>NG</v>
      </c>
      <c r="M1194" s="203">
        <f>K1194/ABS(D1194)</f>
        <v>0</v>
      </c>
      <c r="N1194" s="4"/>
      <c r="O1194" s="390"/>
    </row>
    <row r="1195">
      <c r="A1195" s="202">
        <f>A1094</f>
        <v>101</v>
      </c>
      <c r="B1195" s="183">
        <f>(INPUT!BB62+INPUT!BC62+INPUT!BD62)*1.25/2</f>
        <v>-1173.9349772229527</v>
      </c>
      <c r="C1195" s="131">
        <f>COS(ATAN(G153))</f>
        <v>0.992197667229329</v>
      </c>
      <c r="D1195" s="184">
        <f>B1195/C1195</f>
        <v>-1183.1664354756222</v>
      </c>
      <c r="E1195" s="183">
        <f>INPUT!AC62</f>
        <v>1587.5</v>
      </c>
      <c r="F1195" s="184">
        <f>5+5/(E1195/G1094)^2</f>
        <v>20.554591109182219</v>
      </c>
      <c r="G1195" s="184">
        <f>G1094/COS(ATAN(G153))</f>
        <v>2822.01832606489</v>
      </c>
      <c r="H1195" s="184">
        <f>L396</f>
        <v>12</v>
      </c>
      <c r="I1195" s="131">
        <f>IF(G1195/H1195&lt;=1.12*SQRT(INPUT!$B$2*F1195/INPUT!AQ62),1,IF(G1195/H1195&lt;=1.4*SQRT(INPUT!$B$2*F1195/INPUT!AQ62),1.12/(G1195/H1195)*SQRT(INPUT!$B$2*F1195/INPUT!AQ62),1.57*SQRT(INPUT!$B$2*F1195/INPUT!AQ62)^2/(G1195/H1195)^2))</f>
        <v>0</v>
      </c>
      <c r="J1195" s="481">
        <f>0.58*INPUT!AQ62*1000*G1195*H1195/10^6</f>
        <v>6972.6428800411295</v>
      </c>
      <c r="K1195" s="184">
        <f>I1195*J1195</f>
        <v>0</v>
      </c>
      <c r="L1195" s="201" t="str">
        <f>IF(1*K1195&gt;=ABS(D1195),"OK","NG")</f>
        <v>NG</v>
      </c>
      <c r="M1195" s="203">
        <f>K1195/ABS(D1195)</f>
        <v>0</v>
      </c>
      <c r="N1195" s="4"/>
      <c r="O1195" s="390"/>
    </row>
    <row r="1196">
      <c r="A1196" s="202">
        <f>A1095</f>
        <v>101</v>
      </c>
      <c r="B1196" s="183">
        <f>(INPUT!BB63+INPUT!BC63+INPUT!BD63)*1.25/2</f>
        <v>-1173.9349772229527</v>
      </c>
      <c r="C1196" s="131">
        <f>COS(ATAN(G154))</f>
        <v>0.992197667229329</v>
      </c>
      <c r="D1196" s="184">
        <f>B1196/C1196</f>
        <v>-1183.1664354756222</v>
      </c>
      <c r="E1196" s="183">
        <f>INPUT!AC63</f>
        <v>1587.5</v>
      </c>
      <c r="F1196" s="184">
        <f>5+5/(E1196/G1095)^2</f>
        <v>20.554591109182219</v>
      </c>
      <c r="G1196" s="184">
        <f>G1095/COS(ATAN(G154))</f>
        <v>2822.01832606489</v>
      </c>
      <c r="H1196" s="184">
        <f>L397</f>
        <v>12</v>
      </c>
      <c r="I1196" s="131">
        <f>IF(G1196/H1196&lt;=1.12*SQRT(INPUT!$B$2*F1196/INPUT!AQ63),1,IF(G1196/H1196&lt;=1.4*SQRT(INPUT!$B$2*F1196/INPUT!AQ63),1.12/(G1196/H1196)*SQRT(INPUT!$B$2*F1196/INPUT!AQ63),1.57*SQRT(INPUT!$B$2*F1196/INPUT!AQ63)^2/(G1196/H1196)^2))</f>
        <v>0</v>
      </c>
      <c r="J1196" s="481">
        <f>0.58*INPUT!AQ63*1000*G1196*H1196/10^6</f>
        <v>6972.6428800411295</v>
      </c>
      <c r="K1196" s="184">
        <f>I1196*J1196</f>
        <v>0</v>
      </c>
      <c r="L1196" s="201" t="str">
        <f>IF(1*K1196&gt;=ABS(D1196),"OK","NG")</f>
        <v>NG</v>
      </c>
      <c r="M1196" s="203">
        <f>K1196/ABS(D1196)</f>
        <v>0</v>
      </c>
      <c r="N1196" s="4"/>
      <c r="O1196" s="390"/>
    </row>
    <row r="1197">
      <c r="A1197" s="202">
        <f>A1096</f>
        <v>101</v>
      </c>
      <c r="B1197" s="183">
        <f>(INPUT!BB64+INPUT!BC64+INPUT!BD64)*1.25/2</f>
        <v>-1173.9349772229527</v>
      </c>
      <c r="C1197" s="131">
        <f>COS(ATAN(G155))</f>
        <v>0.992197667229329</v>
      </c>
      <c r="D1197" s="184">
        <f>B1197/C1197</f>
        <v>-1183.1664354756222</v>
      </c>
      <c r="E1197" s="183">
        <f>INPUT!AC64</f>
        <v>1587.5</v>
      </c>
      <c r="F1197" s="184">
        <f>5+5/(E1197/G1096)^2</f>
        <v>20.554591109182219</v>
      </c>
      <c r="G1197" s="184">
        <f>G1096/COS(ATAN(G155))</f>
        <v>2822.01832606489</v>
      </c>
      <c r="H1197" s="184">
        <f>L398</f>
        <v>12</v>
      </c>
      <c r="I1197" s="131">
        <f>IF(G1197/H1197&lt;=1.12*SQRT(INPUT!$B$2*F1197/INPUT!AQ64),1,IF(G1197/H1197&lt;=1.4*SQRT(INPUT!$B$2*F1197/INPUT!AQ64),1.12/(G1197/H1197)*SQRT(INPUT!$B$2*F1197/INPUT!AQ64),1.57*SQRT(INPUT!$B$2*F1197/INPUT!AQ64)^2/(G1197/H1197)^2))</f>
        <v>0</v>
      </c>
      <c r="J1197" s="481">
        <f>0.58*INPUT!AQ64*1000*G1197*H1197/10^6</f>
        <v>6972.6428800411295</v>
      </c>
      <c r="K1197" s="184">
        <f>I1197*J1197</f>
        <v>0</v>
      </c>
      <c r="L1197" s="201" t="str">
        <f>IF(1*K1197&gt;=ABS(D1197),"OK","NG")</f>
        <v>NG</v>
      </c>
      <c r="M1197" s="203">
        <f>K1197/ABS(D1197)</f>
        <v>0</v>
      </c>
      <c r="N1197" s="4"/>
      <c r="O1197" s="390"/>
    </row>
    <row r="1198">
      <c r="A1198" s="202">
        <f>A1097</f>
        <v>101</v>
      </c>
      <c r="B1198" s="183">
        <f>(INPUT!BB65+INPUT!BC65+INPUT!BD65)*1.25/2</f>
        <v>-1173.9349772229527</v>
      </c>
      <c r="C1198" s="131">
        <f>COS(ATAN(G156))</f>
        <v>0.992197667229329</v>
      </c>
      <c r="D1198" s="184">
        <f>B1198/C1198</f>
        <v>-1183.1664354756222</v>
      </c>
      <c r="E1198" s="183">
        <f>INPUT!AC65</f>
        <v>1587.5</v>
      </c>
      <c r="F1198" s="184">
        <f>5+5/(E1198/G1097)^2</f>
        <v>20.554591109182219</v>
      </c>
      <c r="G1198" s="184">
        <f>G1097/COS(ATAN(G156))</f>
        <v>2822.01832606489</v>
      </c>
      <c r="H1198" s="184">
        <f>L399</f>
        <v>12</v>
      </c>
      <c r="I1198" s="131">
        <f>IF(G1198/H1198&lt;=1.12*SQRT(INPUT!$B$2*F1198/INPUT!AQ65),1,IF(G1198/H1198&lt;=1.4*SQRT(INPUT!$B$2*F1198/INPUT!AQ65),1.12/(G1198/H1198)*SQRT(INPUT!$B$2*F1198/INPUT!AQ65),1.57*SQRT(INPUT!$B$2*F1198/INPUT!AQ65)^2/(G1198/H1198)^2))</f>
        <v>0</v>
      </c>
      <c r="J1198" s="481">
        <f>0.58*INPUT!AQ65*1000*G1198*H1198/10^6</f>
        <v>6972.6428800411295</v>
      </c>
      <c r="K1198" s="184">
        <f>I1198*J1198</f>
        <v>0</v>
      </c>
      <c r="L1198" s="201" t="str">
        <f>IF(1*K1198&gt;=ABS(D1198),"OK","NG")</f>
        <v>NG</v>
      </c>
      <c r="M1198" s="203">
        <f>K1198/ABS(D1198)</f>
        <v>0</v>
      </c>
      <c r="N1198" s="4"/>
      <c r="O1198" s="390"/>
    </row>
    <row r="1199">
      <c r="A1199" s="202">
        <f>A1098</f>
        <v>101</v>
      </c>
      <c r="B1199" s="183">
        <f>(INPUT!BB66+INPUT!BC66+INPUT!BD66)*1.25/2</f>
        <v>-1173.9349772229527</v>
      </c>
      <c r="C1199" s="131">
        <f>COS(ATAN(G157))</f>
        <v>0.992197667229329</v>
      </c>
      <c r="D1199" s="184">
        <f>B1199/C1199</f>
        <v>-1183.1664354756222</v>
      </c>
      <c r="E1199" s="183">
        <f>INPUT!AC66</f>
        <v>1587.5</v>
      </c>
      <c r="F1199" s="184">
        <f>5+5/(E1199/G1098)^2</f>
        <v>20.554591109182219</v>
      </c>
      <c r="G1199" s="184">
        <f>G1098/COS(ATAN(G157))</f>
        <v>2822.01832606489</v>
      </c>
      <c r="H1199" s="184">
        <f>L400</f>
        <v>12</v>
      </c>
      <c r="I1199" s="131">
        <f>IF(G1199/H1199&lt;=1.12*SQRT(INPUT!$B$2*F1199/INPUT!AQ66),1,IF(G1199/H1199&lt;=1.4*SQRT(INPUT!$B$2*F1199/INPUT!AQ66),1.12/(G1199/H1199)*SQRT(INPUT!$B$2*F1199/INPUT!AQ66),1.57*SQRT(INPUT!$B$2*F1199/INPUT!AQ66)^2/(G1199/H1199)^2))</f>
        <v>0</v>
      </c>
      <c r="J1199" s="481">
        <f>0.58*INPUT!AQ66*1000*G1199*H1199/10^6</f>
        <v>6972.6428800411295</v>
      </c>
      <c r="K1199" s="184">
        <f>I1199*J1199</f>
        <v>0</v>
      </c>
      <c r="L1199" s="201" t="str">
        <f>IF(1*K1199&gt;=ABS(D1199),"OK","NG")</f>
        <v>NG</v>
      </c>
      <c r="M1199" s="203">
        <f>K1199/ABS(D1199)</f>
        <v>0</v>
      </c>
      <c r="N1199" s="4"/>
      <c r="O1199" s="390"/>
    </row>
    <row r="1200">
      <c r="A1200" s="202">
        <f>A1099</f>
        <v>101</v>
      </c>
      <c r="B1200" s="183">
        <f>(INPUT!BB67+INPUT!BC67+INPUT!BD67)*1.25/2</f>
        <v>-1173.9349772229527</v>
      </c>
      <c r="C1200" s="131">
        <f>COS(ATAN(G158))</f>
        <v>0.992197667229329</v>
      </c>
      <c r="D1200" s="184">
        <f>B1200/C1200</f>
        <v>-1183.1664354756222</v>
      </c>
      <c r="E1200" s="183">
        <f>INPUT!AC67</f>
        <v>1587.5</v>
      </c>
      <c r="F1200" s="184">
        <f>5+5/(E1200/G1099)^2</f>
        <v>20.554591109182219</v>
      </c>
      <c r="G1200" s="184">
        <f>G1099/COS(ATAN(G158))</f>
        <v>2822.01832606489</v>
      </c>
      <c r="H1200" s="184">
        <f>L401</f>
        <v>12</v>
      </c>
      <c r="I1200" s="131">
        <f>IF(G1200/H1200&lt;=1.12*SQRT(INPUT!$B$2*F1200/INPUT!AQ67),1,IF(G1200/H1200&lt;=1.4*SQRT(INPUT!$B$2*F1200/INPUT!AQ67),1.12/(G1200/H1200)*SQRT(INPUT!$B$2*F1200/INPUT!AQ67),1.57*SQRT(INPUT!$B$2*F1200/INPUT!AQ67)^2/(G1200/H1200)^2))</f>
        <v>0</v>
      </c>
      <c r="J1200" s="481">
        <f>0.58*INPUT!AQ67*1000*G1200*H1200/10^6</f>
        <v>6972.6428800411295</v>
      </c>
      <c r="K1200" s="184">
        <f>I1200*J1200</f>
        <v>0</v>
      </c>
      <c r="L1200" s="201" t="str">
        <f>IF(1*K1200&gt;=ABS(D1200),"OK","NG")</f>
        <v>NG</v>
      </c>
      <c r="M1200" s="203">
        <f>K1200/ABS(D1200)</f>
        <v>0</v>
      </c>
      <c r="N1200" s="4"/>
      <c r="O1200" s="390"/>
    </row>
    <row r="1201">
      <c r="A1201" s="202">
        <f>A1100</f>
        <v>101</v>
      </c>
      <c r="B1201" s="183">
        <f>(INPUT!BB68+INPUT!BC68+INPUT!BD68)*1.25/2</f>
        <v>-1173.9349772229527</v>
      </c>
      <c r="C1201" s="131">
        <f>COS(ATAN(G159))</f>
        <v>0.992197667229329</v>
      </c>
      <c r="D1201" s="184">
        <f>B1201/C1201</f>
        <v>-1183.1664354756222</v>
      </c>
      <c r="E1201" s="183">
        <f>INPUT!AC68</f>
        <v>1587.5</v>
      </c>
      <c r="F1201" s="184">
        <f>5+5/(E1201/G1100)^2</f>
        <v>20.554591109182219</v>
      </c>
      <c r="G1201" s="184">
        <f>G1100/COS(ATAN(G159))</f>
        <v>2822.01832606489</v>
      </c>
      <c r="H1201" s="184">
        <f>L402</f>
        <v>12</v>
      </c>
      <c r="I1201" s="131">
        <f>IF(G1201/H1201&lt;=1.12*SQRT(INPUT!$B$2*F1201/INPUT!AQ68),1,IF(G1201/H1201&lt;=1.4*SQRT(INPUT!$B$2*F1201/INPUT!AQ68),1.12/(G1201/H1201)*SQRT(INPUT!$B$2*F1201/INPUT!AQ68),1.57*SQRT(INPUT!$B$2*F1201/INPUT!AQ68)^2/(G1201/H1201)^2))</f>
        <v>0</v>
      </c>
      <c r="J1201" s="481">
        <f>0.58*INPUT!AQ68*1000*G1201*H1201/10^6</f>
        <v>6972.6428800411295</v>
      </c>
      <c r="K1201" s="184">
        <f>I1201*J1201</f>
        <v>0</v>
      </c>
      <c r="L1201" s="201" t="str">
        <f>IF(1*K1201&gt;=ABS(D1201),"OK","NG")</f>
        <v>NG</v>
      </c>
      <c r="M1201" s="203">
        <f>K1201/ABS(D1201)</f>
        <v>0</v>
      </c>
      <c r="N1201" s="4"/>
      <c r="O1201" s="390"/>
    </row>
    <row r="1202">
      <c r="A1202" s="202">
        <f>A1101</f>
        <v>101</v>
      </c>
      <c r="B1202" s="183">
        <f>(INPUT!BB69+INPUT!BC69+INPUT!BD69)*1.25/2</f>
        <v>-1173.9349772229527</v>
      </c>
      <c r="C1202" s="131">
        <f>COS(ATAN(G160))</f>
        <v>0.992197667229329</v>
      </c>
      <c r="D1202" s="184">
        <f>B1202/C1202</f>
        <v>-1183.1664354756222</v>
      </c>
      <c r="E1202" s="183">
        <f>INPUT!AC69</f>
        <v>1587.5</v>
      </c>
      <c r="F1202" s="184">
        <f>5+5/(E1202/G1101)^2</f>
        <v>20.554591109182219</v>
      </c>
      <c r="G1202" s="184">
        <f>G1101/COS(ATAN(G160))</f>
        <v>2822.01832606489</v>
      </c>
      <c r="H1202" s="184">
        <f>L403</f>
        <v>12</v>
      </c>
      <c r="I1202" s="131">
        <f>IF(G1202/H1202&lt;=1.12*SQRT(INPUT!$B$2*F1202/INPUT!AQ69),1,IF(G1202/H1202&lt;=1.4*SQRT(INPUT!$B$2*F1202/INPUT!AQ69),1.12/(G1202/H1202)*SQRT(INPUT!$B$2*F1202/INPUT!AQ69),1.57*SQRT(INPUT!$B$2*F1202/INPUT!AQ69)^2/(G1202/H1202)^2))</f>
        <v>0</v>
      </c>
      <c r="J1202" s="481">
        <f>0.58*INPUT!AQ69*1000*G1202*H1202/10^6</f>
        <v>6972.6428800411295</v>
      </c>
      <c r="K1202" s="184">
        <f>I1202*J1202</f>
        <v>0</v>
      </c>
      <c r="L1202" s="201" t="str">
        <f>IF(1*K1202&gt;=ABS(D1202),"OK","NG")</f>
        <v>NG</v>
      </c>
      <c r="M1202" s="203">
        <f>K1202/ABS(D1202)</f>
        <v>0</v>
      </c>
      <c r="N1202" s="4"/>
      <c r="O1202" s="390"/>
    </row>
    <row r="1203">
      <c r="A1203" s="202">
        <f>A1102</f>
        <v>101</v>
      </c>
      <c r="B1203" s="183">
        <f>(INPUT!BB70+INPUT!BC70+INPUT!BD70)*1.25/2</f>
        <v>-1173.9349772229527</v>
      </c>
      <c r="C1203" s="131">
        <f>COS(ATAN(G161))</f>
        <v>0.992197667229329</v>
      </c>
      <c r="D1203" s="184">
        <f>B1203/C1203</f>
        <v>-1183.1664354756222</v>
      </c>
      <c r="E1203" s="183">
        <f>INPUT!AC70</f>
        <v>1587.5</v>
      </c>
      <c r="F1203" s="184">
        <f>5+5/(E1203/G1102)^2</f>
        <v>20.554591109182219</v>
      </c>
      <c r="G1203" s="184">
        <f>G1102/COS(ATAN(G161))</f>
        <v>2822.01832606489</v>
      </c>
      <c r="H1203" s="184">
        <f>L404</f>
        <v>12</v>
      </c>
      <c r="I1203" s="131">
        <f>IF(G1203/H1203&lt;=1.12*SQRT(INPUT!$B$2*F1203/INPUT!AQ70),1,IF(G1203/H1203&lt;=1.4*SQRT(INPUT!$B$2*F1203/INPUT!AQ70),1.12/(G1203/H1203)*SQRT(INPUT!$B$2*F1203/INPUT!AQ70),1.57*SQRT(INPUT!$B$2*F1203/INPUT!AQ70)^2/(G1203/H1203)^2))</f>
        <v>0</v>
      </c>
      <c r="J1203" s="481">
        <f>0.58*INPUT!AQ70*1000*G1203*H1203/10^6</f>
        <v>6972.6428800411295</v>
      </c>
      <c r="K1203" s="184">
        <f>I1203*J1203</f>
        <v>0</v>
      </c>
      <c r="L1203" s="201" t="str">
        <f>IF(1*K1203&gt;=ABS(D1203),"OK","NG")</f>
        <v>NG</v>
      </c>
      <c r="M1203" s="203">
        <f>K1203/ABS(D1203)</f>
        <v>0</v>
      </c>
      <c r="N1203" s="4"/>
      <c r="O1203" s="390"/>
    </row>
    <row r="1204">
      <c r="A1204" s="202">
        <f>A1103</f>
        <v>101</v>
      </c>
      <c r="B1204" s="183">
        <f>(INPUT!BB71+INPUT!BC71+INPUT!BD71)*1.25/2</f>
        <v>-1173.9349772229527</v>
      </c>
      <c r="C1204" s="131">
        <f>COS(ATAN(G162))</f>
        <v>0.992197667229329</v>
      </c>
      <c r="D1204" s="184">
        <f>B1204/C1204</f>
        <v>-1183.1664354756222</v>
      </c>
      <c r="E1204" s="183">
        <f>INPUT!AC71</f>
        <v>1587.5</v>
      </c>
      <c r="F1204" s="184">
        <f>5+5/(E1204/G1103)^2</f>
        <v>20.554591109182219</v>
      </c>
      <c r="G1204" s="184">
        <f>G1103/COS(ATAN(G162))</f>
        <v>2822.01832606489</v>
      </c>
      <c r="H1204" s="184">
        <f>L405</f>
        <v>12</v>
      </c>
      <c r="I1204" s="131">
        <f>IF(G1204/H1204&lt;=1.12*SQRT(INPUT!$B$2*F1204/INPUT!AQ71),1,IF(G1204/H1204&lt;=1.4*SQRT(INPUT!$B$2*F1204/INPUT!AQ71),1.12/(G1204/H1204)*SQRT(INPUT!$B$2*F1204/INPUT!AQ71),1.57*SQRT(INPUT!$B$2*F1204/INPUT!AQ71)^2/(G1204/H1204)^2))</f>
        <v>0</v>
      </c>
      <c r="J1204" s="481">
        <f>0.58*INPUT!AQ71*1000*G1204*H1204/10^6</f>
        <v>6972.6428800411295</v>
      </c>
      <c r="K1204" s="184">
        <f>I1204*J1204</f>
        <v>0</v>
      </c>
      <c r="L1204" s="201" t="str">
        <f>IF(1*K1204&gt;=ABS(D1204),"OK","NG")</f>
        <v>NG</v>
      </c>
      <c r="M1204" s="203">
        <f>K1204/ABS(D1204)</f>
        <v>0</v>
      </c>
      <c r="N1204" s="4"/>
      <c r="O1204" s="390"/>
    </row>
    <row r="1205">
      <c r="A1205" s="202">
        <f>A1104</f>
        <v>101</v>
      </c>
      <c r="B1205" s="183">
        <f>(INPUT!BB72+INPUT!BC72+INPUT!BD72)*1.25/2</f>
        <v>-1173.9349772229527</v>
      </c>
      <c r="C1205" s="131">
        <f>COS(ATAN(G163))</f>
        <v>0.992197667229329</v>
      </c>
      <c r="D1205" s="184">
        <f>B1205/C1205</f>
        <v>-1183.1664354756222</v>
      </c>
      <c r="E1205" s="183">
        <f>INPUT!AC72</f>
        <v>1587.5</v>
      </c>
      <c r="F1205" s="184">
        <f>5+5/(E1205/G1104)^2</f>
        <v>20.554591109182219</v>
      </c>
      <c r="G1205" s="184">
        <f>G1104/COS(ATAN(G163))</f>
        <v>2822.01832606489</v>
      </c>
      <c r="H1205" s="184">
        <f>L406</f>
        <v>12</v>
      </c>
      <c r="I1205" s="131">
        <f>IF(G1205/H1205&lt;=1.12*SQRT(INPUT!$B$2*F1205/INPUT!AQ72),1,IF(G1205/H1205&lt;=1.4*SQRT(INPUT!$B$2*F1205/INPUT!AQ72),1.12/(G1205/H1205)*SQRT(INPUT!$B$2*F1205/INPUT!AQ72),1.57*SQRT(INPUT!$B$2*F1205/INPUT!AQ72)^2/(G1205/H1205)^2))</f>
        <v>0</v>
      </c>
      <c r="J1205" s="481">
        <f>0.58*INPUT!AQ72*1000*G1205*H1205/10^6</f>
        <v>6972.6428800411295</v>
      </c>
      <c r="K1205" s="184">
        <f>I1205*J1205</f>
        <v>0</v>
      </c>
      <c r="L1205" s="201" t="str">
        <f>IF(1*K1205&gt;=ABS(D1205),"OK","NG")</f>
        <v>NG</v>
      </c>
      <c r="M1205" s="203">
        <f>K1205/ABS(D1205)</f>
        <v>0</v>
      </c>
      <c r="N1205" s="4"/>
      <c r="O1205" s="390"/>
    </row>
    <row r="1206">
      <c r="A1206" s="202">
        <f>A1105</f>
        <v>101</v>
      </c>
      <c r="B1206" s="183">
        <f>(INPUT!BB73+INPUT!BC73+INPUT!BD73)*1.25/2</f>
        <v>-1173.9349772229527</v>
      </c>
      <c r="C1206" s="131">
        <f>COS(ATAN(G164))</f>
        <v>0.992197667229329</v>
      </c>
      <c r="D1206" s="184">
        <f>B1206/C1206</f>
        <v>-1183.1664354756222</v>
      </c>
      <c r="E1206" s="183">
        <f>INPUT!AC73</f>
        <v>1587.5</v>
      </c>
      <c r="F1206" s="184">
        <f>5+5/(E1206/G1105)^2</f>
        <v>20.554591109182219</v>
      </c>
      <c r="G1206" s="184">
        <f>G1105/COS(ATAN(G164))</f>
        <v>2822.01832606489</v>
      </c>
      <c r="H1206" s="184">
        <f>L407</f>
        <v>12</v>
      </c>
      <c r="I1206" s="131">
        <f>IF(G1206/H1206&lt;=1.12*SQRT(INPUT!$B$2*F1206/INPUT!AQ73),1,IF(G1206/H1206&lt;=1.4*SQRT(INPUT!$B$2*F1206/INPUT!AQ73),1.12/(G1206/H1206)*SQRT(INPUT!$B$2*F1206/INPUT!AQ73),1.57*SQRT(INPUT!$B$2*F1206/INPUT!AQ73)^2/(G1206/H1206)^2))</f>
        <v>0</v>
      </c>
      <c r="J1206" s="481">
        <f>0.58*INPUT!AQ73*1000*G1206*H1206/10^6</f>
        <v>6972.6428800411295</v>
      </c>
      <c r="K1206" s="184">
        <f>I1206*J1206</f>
        <v>0</v>
      </c>
      <c r="L1206" s="201" t="str">
        <f>IF(1*K1206&gt;=ABS(D1206),"OK","NG")</f>
        <v>NG</v>
      </c>
      <c r="M1206" s="203">
        <f>K1206/ABS(D1206)</f>
        <v>0</v>
      </c>
      <c r="N1206" s="4"/>
      <c r="O1206" s="390"/>
    </row>
    <row r="1207">
      <c r="A1207" s="202">
        <f>A1106</f>
        <v>101</v>
      </c>
      <c r="B1207" s="183">
        <f>(INPUT!BB74+INPUT!BC74+INPUT!BD74)*1.25/2</f>
        <v>-1173.9349772229527</v>
      </c>
      <c r="C1207" s="131">
        <f>COS(ATAN(G165))</f>
        <v>0.992197667229329</v>
      </c>
      <c r="D1207" s="184">
        <f>B1207/C1207</f>
        <v>-1183.1664354756222</v>
      </c>
      <c r="E1207" s="183">
        <f>INPUT!AC74</f>
        <v>1587.5</v>
      </c>
      <c r="F1207" s="184">
        <f>5+5/(E1207/G1106)^2</f>
        <v>20.554591109182219</v>
      </c>
      <c r="G1207" s="184">
        <f>G1106/COS(ATAN(G165))</f>
        <v>2822.01832606489</v>
      </c>
      <c r="H1207" s="184">
        <f>L408</f>
        <v>12</v>
      </c>
      <c r="I1207" s="131">
        <f>IF(G1207/H1207&lt;=1.12*SQRT(INPUT!$B$2*F1207/INPUT!AQ74),1,IF(G1207/H1207&lt;=1.4*SQRT(INPUT!$B$2*F1207/INPUT!AQ74),1.12/(G1207/H1207)*SQRT(INPUT!$B$2*F1207/INPUT!AQ74),1.57*SQRT(INPUT!$B$2*F1207/INPUT!AQ74)^2/(G1207/H1207)^2))</f>
        <v>0</v>
      </c>
      <c r="J1207" s="481">
        <f>0.58*INPUT!AQ74*1000*G1207*H1207/10^6</f>
        <v>6972.6428800411295</v>
      </c>
      <c r="K1207" s="184">
        <f>I1207*J1207</f>
        <v>0</v>
      </c>
      <c r="L1207" s="201" t="str">
        <f>IF(1*K1207&gt;=ABS(D1207),"OK","NG")</f>
        <v>NG</v>
      </c>
      <c r="M1207" s="203">
        <f>K1207/ABS(D1207)</f>
        <v>0</v>
      </c>
      <c r="N1207" s="4"/>
      <c r="O1207" s="390"/>
    </row>
    <row r="1208">
      <c r="A1208" s="202">
        <f>A1107</f>
        <v>101</v>
      </c>
      <c r="B1208" s="183">
        <f>(INPUT!BB75+INPUT!BC75+INPUT!BD75)*1.25/2</f>
        <v>-1173.9349772229527</v>
      </c>
      <c r="C1208" s="131">
        <f>COS(ATAN(G166))</f>
        <v>0.992197667229329</v>
      </c>
      <c r="D1208" s="184">
        <f>B1208/C1208</f>
        <v>-1183.1664354756222</v>
      </c>
      <c r="E1208" s="183">
        <f>INPUT!AC75</f>
        <v>1587.5</v>
      </c>
      <c r="F1208" s="184">
        <f>5+5/(E1208/G1107)^2</f>
        <v>20.554591109182219</v>
      </c>
      <c r="G1208" s="184">
        <f>G1107/COS(ATAN(G166))</f>
        <v>2822.01832606489</v>
      </c>
      <c r="H1208" s="184">
        <f>L409</f>
        <v>12</v>
      </c>
      <c r="I1208" s="131">
        <f>IF(G1208/H1208&lt;=1.12*SQRT(INPUT!$B$2*F1208/INPUT!AQ75),1,IF(G1208/H1208&lt;=1.4*SQRT(INPUT!$B$2*F1208/INPUT!AQ75),1.12/(G1208/H1208)*SQRT(INPUT!$B$2*F1208/INPUT!AQ75),1.57*SQRT(INPUT!$B$2*F1208/INPUT!AQ75)^2/(G1208/H1208)^2))</f>
        <v>0</v>
      </c>
      <c r="J1208" s="481">
        <f>0.58*INPUT!AQ75*1000*G1208*H1208/10^6</f>
        <v>6972.6428800411295</v>
      </c>
      <c r="K1208" s="184">
        <f>I1208*J1208</f>
        <v>0</v>
      </c>
      <c r="L1208" s="201" t="str">
        <f>IF(1*K1208&gt;=ABS(D1208),"OK","NG")</f>
        <v>NG</v>
      </c>
      <c r="M1208" s="203">
        <f>K1208/ABS(D1208)</f>
        <v>0</v>
      </c>
      <c r="N1208" s="4"/>
      <c r="O1208" s="390"/>
    </row>
    <row r="1209">
      <c r="A1209" s="202">
        <f>A1108</f>
        <v>101</v>
      </c>
      <c r="B1209" s="183">
        <f>(INPUT!BB76+INPUT!BC76+INPUT!BD76)*1.25/2</f>
        <v>-1173.9349772229527</v>
      </c>
      <c r="C1209" s="131">
        <f>COS(ATAN(G167))</f>
        <v>0.992197667229329</v>
      </c>
      <c r="D1209" s="184">
        <f>B1209/C1209</f>
        <v>-1183.1664354756222</v>
      </c>
      <c r="E1209" s="183">
        <f>INPUT!AC76</f>
        <v>1587.5</v>
      </c>
      <c r="F1209" s="184">
        <f>5+5/(E1209/G1108)^2</f>
        <v>20.554591109182219</v>
      </c>
      <c r="G1209" s="184">
        <f>G1108/COS(ATAN(G167))</f>
        <v>2822.01832606489</v>
      </c>
      <c r="H1209" s="184">
        <f>L410</f>
        <v>12</v>
      </c>
      <c r="I1209" s="131">
        <f>IF(G1209/H1209&lt;=1.12*SQRT(INPUT!$B$2*F1209/INPUT!AQ76),1,IF(G1209/H1209&lt;=1.4*SQRT(INPUT!$B$2*F1209/INPUT!AQ76),1.12/(G1209/H1209)*SQRT(INPUT!$B$2*F1209/INPUT!AQ76),1.57*SQRT(INPUT!$B$2*F1209/INPUT!AQ76)^2/(G1209/H1209)^2))</f>
        <v>0</v>
      </c>
      <c r="J1209" s="481">
        <f>0.58*INPUT!AQ76*1000*G1209*H1209/10^6</f>
        <v>6972.6428800411295</v>
      </c>
      <c r="K1209" s="184">
        <f>I1209*J1209</f>
        <v>0</v>
      </c>
      <c r="L1209" s="201" t="str">
        <f>IF(1*K1209&gt;=ABS(D1209),"OK","NG")</f>
        <v>NG</v>
      </c>
      <c r="M1209" s="203">
        <f>K1209/ABS(D1209)</f>
        <v>0</v>
      </c>
      <c r="N1209" s="4"/>
      <c r="O1209" s="390"/>
    </row>
    <row r="1210">
      <c r="A1210" s="202">
        <f>A1109</f>
        <v>101</v>
      </c>
      <c r="B1210" s="183">
        <f>(INPUT!BB77+INPUT!BC77+INPUT!BD77)*1.25/2</f>
        <v>-1173.9349772229527</v>
      </c>
      <c r="C1210" s="131">
        <f>COS(ATAN(G168))</f>
        <v>0.992197667229329</v>
      </c>
      <c r="D1210" s="184">
        <f>B1210/C1210</f>
        <v>-1183.1664354756222</v>
      </c>
      <c r="E1210" s="183">
        <f>INPUT!AC77</f>
        <v>1587.5</v>
      </c>
      <c r="F1210" s="184">
        <f>5+5/(E1210/G1109)^2</f>
        <v>20.554591109182219</v>
      </c>
      <c r="G1210" s="184">
        <f>G1109/COS(ATAN(G168))</f>
        <v>2822.01832606489</v>
      </c>
      <c r="H1210" s="184">
        <f>L411</f>
        <v>12</v>
      </c>
      <c r="I1210" s="131">
        <f>IF(G1210/H1210&lt;=1.12*SQRT(INPUT!$B$2*F1210/INPUT!AQ77),1,IF(G1210/H1210&lt;=1.4*SQRT(INPUT!$B$2*F1210/INPUT!AQ77),1.12/(G1210/H1210)*SQRT(INPUT!$B$2*F1210/INPUT!AQ77),1.57*SQRT(INPUT!$B$2*F1210/INPUT!AQ77)^2/(G1210/H1210)^2))</f>
        <v>0</v>
      </c>
      <c r="J1210" s="481">
        <f>0.58*INPUT!AQ77*1000*G1210*H1210/10^6</f>
        <v>6972.6428800411295</v>
      </c>
      <c r="K1210" s="184">
        <f>I1210*J1210</f>
        <v>0</v>
      </c>
      <c r="L1210" s="201" t="str">
        <f>IF(1*K1210&gt;=ABS(D1210),"OK","NG")</f>
        <v>NG</v>
      </c>
      <c r="M1210" s="203">
        <f>K1210/ABS(D1210)</f>
        <v>0</v>
      </c>
      <c r="N1210" s="4"/>
      <c r="O1210" s="390"/>
    </row>
    <row r="1211">
      <c r="A1211" s="202">
        <f>A1110</f>
        <v>101</v>
      </c>
      <c r="B1211" s="183">
        <f>(INPUT!BB78+INPUT!BC78+INPUT!BD78)*1.25/2</f>
        <v>-1173.9349772229527</v>
      </c>
      <c r="C1211" s="131">
        <f>COS(ATAN(G169))</f>
        <v>0.992197667229329</v>
      </c>
      <c r="D1211" s="184">
        <f>B1211/C1211</f>
        <v>-1183.1664354756222</v>
      </c>
      <c r="E1211" s="183">
        <f>INPUT!AC78</f>
        <v>1587.5</v>
      </c>
      <c r="F1211" s="184">
        <f>5+5/(E1211/G1110)^2</f>
        <v>20.554591109182219</v>
      </c>
      <c r="G1211" s="184">
        <f>G1110/COS(ATAN(G169))</f>
        <v>2822.01832606489</v>
      </c>
      <c r="H1211" s="184">
        <f>L412</f>
        <v>12</v>
      </c>
      <c r="I1211" s="131">
        <f>IF(G1211/H1211&lt;=1.12*SQRT(INPUT!$B$2*F1211/INPUT!AQ78),1,IF(G1211/H1211&lt;=1.4*SQRT(INPUT!$B$2*F1211/INPUT!AQ78),1.12/(G1211/H1211)*SQRT(INPUT!$B$2*F1211/INPUT!AQ78),1.57*SQRT(INPUT!$B$2*F1211/INPUT!AQ78)^2/(G1211/H1211)^2))</f>
        <v>0</v>
      </c>
      <c r="J1211" s="481">
        <f>0.58*INPUT!AQ78*1000*G1211*H1211/10^6</f>
        <v>6972.6428800411295</v>
      </c>
      <c r="K1211" s="184">
        <f>I1211*J1211</f>
        <v>0</v>
      </c>
      <c r="L1211" s="201" t="str">
        <f>IF(1*K1211&gt;=ABS(D1211),"OK","NG")</f>
        <v>NG</v>
      </c>
      <c r="M1211" s="203">
        <f>K1211/ABS(D1211)</f>
        <v>0</v>
      </c>
      <c r="N1211" s="4"/>
      <c r="O1211" s="390"/>
    </row>
  </sheetData>
  <mergeCells>
    <mergeCell ref="K335:K336"/>
    <mergeCell ref="I92:K92"/>
    <mergeCell ref="J35:K36"/>
    <mergeCell ref="N328:N329"/>
    <mergeCell ref="B172:C172"/>
    <mergeCell ref="E35:F36"/>
    <mergeCell ref="D81:D82"/>
    <mergeCell ref="E81:E82"/>
    <mergeCell ref="D83:D84"/>
    <mergeCell ref="E83:E84"/>
    <mergeCell ref="C263:C264"/>
    <mergeCell ref="G263:G264"/>
    <mergeCell ref="B263:B264"/>
    <mergeCell ref="F83:H83"/>
    <mergeCell ref="B92:H92"/>
    <mergeCell ref="D992:E993"/>
    <mergeCell ref="H992:K993"/>
    <mergeCell ref="D994:E995"/>
    <mergeCell ref="H994:K995"/>
    <mergeCell ref="D415:G415"/>
    <mergeCell ref="H415:L415"/>
    <mergeCell ref="B495:H495"/>
    <mergeCell ref="I495:K495"/>
    <mergeCell ref="C575:G575"/>
    <mergeCell ref="H735:L735"/>
    <mergeCell ref="C824:G824"/>
    <mergeCell ref="H824:K824"/>
    <mergeCell ref="L824:N824"/>
    <mergeCell ref="C904:F904"/>
    <mergeCell ref="G904:J904"/>
    <mergeCell ref="B818:D818"/>
    <mergeCell ref="H300:H301"/>
    <mergeCell ref="B335:F335"/>
    <mergeCell ref="G335:J335"/>
    <mergeCell ref="D263:F263"/>
    <mergeCell ref="C735:G735"/>
    <mergeCell ref="H263:I263"/>
    <mergeCell ref="D264:F264"/>
    <mergeCell ref="H264:I264"/>
    <mergeCell ref="D655:G655"/>
    <mergeCell ref="B816:D817"/>
    <mergeCell ref="K1033:L1033"/>
    <mergeCell ref="M1033:N1033"/>
    <mergeCell ref="C998:D999"/>
    <mergeCell ref="F998:I999"/>
    <mergeCell ref="H1007:I1007"/>
    <mergeCell ref="B1033:C1033"/>
  </mergeCells>
  <phoneticPr fontId="28" type="noConversion"/>
  <conditionalFormatting sqref="M99">
    <cfRule type="containsText" dxfId="0" priority="1" operator="containsText" text="NG">
      <formula>NOT(ISERROR(SEARCH("NG",M99)))</formula>
    </cfRule>
    <cfRule type="containsText" dxfId="0" priority="10" operator="containsText" text="NG">
      <formula>NOT(ISERROR(SEARCH("NG",M99)))</formula>
    </cfRule>
  </conditionalFormatting>
  <conditionalFormatting sqref="N226">
    <cfRule type="containsText" dxfId="0" priority="9" operator="containsText" text="NG">
      <formula>NOT(ISERROR(SEARCH("NG",N226)))</formula>
    </cfRule>
  </conditionalFormatting>
  <conditionalFormatting sqref="J226">
    <cfRule type="containsText" dxfId="0" priority="8" operator="containsText" text="NG">
      <formula>NOT(ISERROR(SEARCH("NG",J226)))</formula>
    </cfRule>
  </conditionalFormatting>
  <conditionalFormatting sqref="G226">
    <cfRule type="containsText" dxfId="0" priority="7" operator="containsText" text="NG">
      <formula>NOT(ISERROR(SEARCH("NG",G226)))</formula>
    </cfRule>
  </conditionalFormatting>
  <conditionalFormatting sqref="E231">
    <cfRule type="containsText" dxfId="0" priority="6" operator="containsText" text="NG">
      <formula>NOT(ISERROR(SEARCH("NG",E231)))</formula>
    </cfRule>
  </conditionalFormatting>
  <conditionalFormatting sqref="I231">
    <cfRule type="containsText" dxfId="0" priority="5" operator="containsText" text="NG">
      <formula>NOT(ISERROR(SEARCH("NG",I231)))</formula>
    </cfRule>
  </conditionalFormatting>
  <conditionalFormatting sqref="L311">
    <cfRule type="containsText" dxfId="0" priority="3" operator="containsText" text="NG">
      <formula>NOT(ISERROR(SEARCH("NG",L311)))</formula>
    </cfRule>
  </conditionalFormatting>
  <conditionalFormatting sqref="K285 M285">
    <cfRule type="containsText" dxfId="0" priority="2" operator="containsText" text="NG">
      <formula>NOT(ISERROR(SEARCH("NG",K285)))</formula>
    </cfRule>
  </conditionalFormatting>
  <pageMargins left="0.6" right="0.4" top="1" bottom="1" header="0.31496062992126" footer="0.31496062992126"/>
  <pageSetup paperSize="9" orientation="portrait"/>
  <headerFooter/>
  <rowBreaks count="14" manualBreakCount="14">
    <brk id="26" max="1048575" man="1"/>
    <brk id="90" max="1048575" man="1"/>
    <brk id="170" max="1048575" man="1"/>
    <brk id="251" max="1048575" man="1"/>
    <brk id="333" max="1048575" man="1"/>
    <brk id="413" max="1048575" man="1"/>
    <brk id="493" max="1048575" man="1"/>
    <brk id="573" max="1048575" man="1"/>
    <brk id="653" max="1048575" man="1"/>
    <brk id="813" max="1048575" man="1"/>
    <brk id="983" max="1048575" man="1"/>
    <brk id="1031" max="1048575" man="1"/>
    <brk id="1112" max="1048575" man="1"/>
    <brk id="1132" max="1048575" man="1"/>
  </rowBreaks>
  <colBreaks count="1" manualBreakCount="1">
    <brk id="15" max="16383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8641-03C5-4FD4-88C7-EDEE55C7A25F}">
  <dimension ref="A1:CJ1658"/>
  <sheetViews>
    <sheetView showGridLines="0" tabSelected="1" topLeftCell="A441" zoomScaleNormal="100" zoomScaleSheetLayoutView="100" workbookViewId="0">
      <selection activeCell="N469" sqref="N469"/>
    </sheetView>
  </sheetViews>
  <sheetFormatPr defaultRowHeight="15" customHeight="1"/>
  <cols>
    <col min="1" max="1" width="6.5703125" customWidth="1"/>
    <col min="2" max="2" width="6.5703125" customWidth="1"/>
    <col min="3" max="3" width="6.5703125" customWidth="1"/>
    <col min="4" max="4" width="6.5703125" customWidth="1"/>
    <col min="5" max="5" width="6.5703125" customWidth="1"/>
    <col min="6" max="6" width="6.5703125" customWidth="1"/>
    <col min="7" max="7" width="6.5703125" customWidth="1"/>
    <col min="8" max="8" width="6.5703125" customWidth="1"/>
    <col min="9" max="9" width="6.5703125" customWidth="1"/>
    <col min="10" max="10" width="6.5703125" customWidth="1"/>
    <col min="11" max="11" width="6.5703125" customWidth="1"/>
    <col min="12" max="12" width="6.5703125" customWidth="1"/>
    <col min="13" max="13" width="6.5703125" customWidth="1"/>
    <col min="14" max="14" width="6.5703125" customWidth="1" style="67"/>
    <col min="15" max="15" width="5.7109375" customWidth="1" style="305"/>
    <col min="16" max="16" width="9" customWidth="1" style="366"/>
  </cols>
  <sheetData>
    <row r="1" ht="15" customHeight="1" s="3" customFormat="1">
      <c r="A1" s="213"/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4"/>
      <c r="M1" s="213"/>
      <c r="N1" s="213"/>
      <c r="O1" s="283"/>
      <c r="P1" s="365"/>
    </row>
    <row r="2" ht="15" customHeight="1" s="3" customFormat="1">
      <c r="A2" s="215"/>
      <c r="B2" s="216">
        <v>7</v>
      </c>
      <c r="C2" s="217" t="s">
        <v>134</v>
      </c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83"/>
      <c r="P2" s="365"/>
    </row>
    <row r="3" ht="15" customHeight="1" s="3" customFormat="1">
      <c r="A3" s="219"/>
      <c r="B3" s="220"/>
      <c r="C3" s="220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21"/>
      <c r="O3" s="303"/>
      <c r="P3" s="365"/>
    </row>
    <row r="4" ht="15" customHeight="1" s="3" customFormat="1">
      <c r="A4" s="222" t="s">
        <v>526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4"/>
      <c r="M4" s="213"/>
      <c r="N4" s="221"/>
      <c r="O4" s="304"/>
      <c r="P4" s="365"/>
    </row>
    <row r="5" ht="15" customHeight="1" s="365" customFormat="1">
      <c r="A5" s="359"/>
      <c r="B5" s="360"/>
      <c r="C5" s="360"/>
      <c r="D5" s="360"/>
      <c r="E5" s="360"/>
      <c r="F5" s="361"/>
      <c r="G5" s="362"/>
      <c r="H5" s="360"/>
      <c r="I5" s="360"/>
      <c r="J5" s="360"/>
      <c r="K5" s="360"/>
      <c r="L5" s="363"/>
      <c r="M5" s="360"/>
      <c r="N5" s="364"/>
      <c r="O5" s="304"/>
    </row>
    <row r="6" ht="15" customHeight="1" s="213" customFormat="1">
      <c r="A6" s="224"/>
      <c r="B6" s="225" t="s">
        <v>527</v>
      </c>
      <c r="C6" s="226"/>
      <c r="D6" s="226"/>
      <c r="E6" s="226"/>
      <c r="F6" s="226"/>
      <c r="G6" s="226"/>
      <c r="H6" s="227"/>
      <c r="I6" s="226"/>
      <c r="J6" s="226"/>
      <c r="K6" s="226"/>
      <c r="L6" s="228"/>
      <c r="O6" s="304"/>
      <c r="P6" s="360"/>
    </row>
    <row r="7" ht="15" customHeight="1" s="213" customFormat="1">
      <c r="A7" s="224"/>
      <c r="B7" s="229"/>
      <c r="F7" s="230"/>
      <c r="G7" s="231" t="s">
        <v>528</v>
      </c>
      <c r="H7" s="232"/>
      <c r="L7" s="233"/>
      <c r="N7" s="234" t="s">
        <v>529</v>
      </c>
      <c r="O7" s="283"/>
      <c r="P7" s="360"/>
    </row>
    <row r="8" ht="15" customHeight="1" s="213" customFormat="1">
      <c r="A8" s="224"/>
      <c r="B8" s="235"/>
      <c r="C8" s="236"/>
      <c r="D8" s="236"/>
      <c r="E8" s="236"/>
      <c r="F8" s="236"/>
      <c r="G8" s="237"/>
      <c r="H8" s="238"/>
      <c r="I8" s="236"/>
      <c r="J8" s="236"/>
      <c r="K8" s="236"/>
      <c r="L8" s="239"/>
      <c r="N8" s="234"/>
      <c r="O8" s="283"/>
      <c r="P8" s="360"/>
    </row>
    <row r="9" ht="15" customHeight="1" s="213" customFormat="1">
      <c r="A9" s="224"/>
      <c r="B9" s="240" t="s">
        <v>530</v>
      </c>
      <c r="G9" s="241"/>
      <c r="H9" s="214"/>
      <c r="L9" s="233"/>
      <c r="N9" s="234"/>
      <c r="O9" s="283"/>
      <c r="P9" s="360"/>
    </row>
    <row r="10" ht="15" customHeight="1" s="213" customFormat="1">
      <c r="A10" s="224"/>
      <c r="B10" s="242"/>
      <c r="F10" s="230"/>
      <c r="G10" s="231" t="s">
        <v>531</v>
      </c>
      <c r="H10" s="232"/>
      <c r="L10" s="233"/>
      <c r="N10" s="234" t="s">
        <v>532</v>
      </c>
      <c r="O10" s="283"/>
      <c r="P10" s="360"/>
    </row>
    <row r="11" ht="15" customHeight="1" s="213" customFormat="1">
      <c r="A11" s="224"/>
      <c r="B11" s="243"/>
      <c r="F11" s="230"/>
      <c r="G11" s="231" t="s">
        <v>533</v>
      </c>
      <c r="H11" s="232"/>
      <c r="L11" s="233"/>
      <c r="N11" s="234"/>
      <c r="O11" s="283"/>
      <c r="P11" s="360"/>
    </row>
    <row r="12" ht="15" customHeight="1" s="213" customFormat="1">
      <c r="A12" s="224"/>
      <c r="B12" s="244"/>
      <c r="C12" s="236"/>
      <c r="D12" s="236"/>
      <c r="E12" s="236"/>
      <c r="F12" s="245"/>
      <c r="G12" s="237"/>
      <c r="H12" s="246"/>
      <c r="I12" s="236"/>
      <c r="J12" s="236"/>
      <c r="K12" s="236"/>
      <c r="L12" s="239"/>
      <c r="N12" s="234"/>
      <c r="O12" s="283"/>
      <c r="P12" s="360"/>
    </row>
    <row r="13" ht="15" customHeight="1" s="213" customFormat="1">
      <c r="A13" s="224"/>
      <c r="B13" s="247" t="s">
        <v>534</v>
      </c>
      <c r="E13" s="230"/>
      <c r="F13" s="230"/>
      <c r="H13" s="232"/>
      <c r="L13" s="233"/>
      <c r="N13" s="234" t="s">
        <v>535</v>
      </c>
      <c r="O13" s="283"/>
      <c r="P13" s="360"/>
    </row>
    <row r="14" ht="15" customHeight="1" s="213" customFormat="1">
      <c r="A14" s="224"/>
      <c r="B14" s="247" t="s">
        <v>419</v>
      </c>
      <c r="G14" s="231" t="s">
        <v>536</v>
      </c>
      <c r="H14" s="214"/>
      <c r="L14" s="233"/>
      <c r="N14" s="234" t="s">
        <v>537</v>
      </c>
      <c r="O14" s="283"/>
      <c r="P14" s="360"/>
    </row>
    <row r="15" ht="15" customHeight="1" s="213" customFormat="1">
      <c r="A15" s="224"/>
      <c r="B15" s="248" t="s">
        <v>420</v>
      </c>
      <c r="E15" s="230"/>
      <c r="F15" s="230"/>
      <c r="G15" s="231" t="s">
        <v>444</v>
      </c>
      <c r="H15" s="232"/>
      <c r="L15" s="233"/>
      <c r="N15" s="234"/>
      <c r="O15" s="283"/>
      <c r="P15" s="360"/>
    </row>
    <row r="16" ht="15" customHeight="1" s="213" customFormat="1">
      <c r="A16" s="224"/>
      <c r="B16" s="243"/>
      <c r="E16" s="230"/>
      <c r="F16" s="230"/>
      <c r="G16" s="231"/>
      <c r="H16" s="232"/>
      <c r="L16" s="233"/>
      <c r="N16" s="234"/>
      <c r="O16" s="283"/>
      <c r="P16" s="360"/>
    </row>
    <row r="17" ht="15" customHeight="1" s="213" customFormat="1">
      <c r="A17" s="224"/>
      <c r="B17" s="249"/>
      <c r="C17" s="236"/>
      <c r="D17" s="236"/>
      <c r="E17" s="236"/>
      <c r="F17" s="236"/>
      <c r="G17" s="237"/>
      <c r="H17" s="238"/>
      <c r="I17" s="236"/>
      <c r="J17" s="236"/>
      <c r="K17" s="236"/>
      <c r="L17" s="239"/>
      <c r="N17" s="234"/>
      <c r="O17" s="283"/>
      <c r="P17" s="360"/>
    </row>
    <row r="18" ht="15" customHeight="1" s="213" customFormat="1">
      <c r="A18" s="224"/>
      <c r="B18" s="240" t="s">
        <v>538</v>
      </c>
      <c r="G18" s="231"/>
      <c r="H18" s="214"/>
      <c r="L18" s="233"/>
      <c r="N18" s="234"/>
      <c r="O18" s="283"/>
      <c r="P18" s="360"/>
    </row>
    <row r="19" ht="15" customHeight="1" s="213" customFormat="1">
      <c r="A19" s="224"/>
      <c r="B19" s="242"/>
      <c r="F19" s="230"/>
      <c r="G19" s="231" t="s">
        <v>539</v>
      </c>
      <c r="H19" s="232"/>
      <c r="L19" s="233"/>
      <c r="N19" s="234" t="s">
        <v>540</v>
      </c>
      <c r="O19" s="283"/>
      <c r="P19" s="360"/>
    </row>
    <row r="20" ht="15" customHeight="1" s="213" customFormat="1">
      <c r="A20" s="224"/>
      <c r="B20" s="249"/>
      <c r="C20" s="236"/>
      <c r="D20" s="236"/>
      <c r="E20" s="236"/>
      <c r="F20" s="236"/>
      <c r="G20" s="237"/>
      <c r="H20" s="238"/>
      <c r="I20" s="236"/>
      <c r="J20" s="236"/>
      <c r="K20" s="236"/>
      <c r="L20" s="239"/>
      <c r="N20" s="234"/>
      <c r="O20" s="283"/>
      <c r="P20" s="360"/>
    </row>
    <row r="21" ht="15" customHeight="1" s="213" customFormat="1">
      <c r="A21" s="224"/>
      <c r="B21" s="248" t="s">
        <v>541</v>
      </c>
      <c r="G21" s="231"/>
      <c r="H21" s="214"/>
      <c r="L21" s="233"/>
      <c r="N21" s="234"/>
      <c r="O21" s="283"/>
      <c r="P21" s="360"/>
    </row>
    <row r="22" ht="15" customHeight="1" s="213" customFormat="1">
      <c r="A22" s="224"/>
      <c r="B22" s="243"/>
      <c r="F22" s="230"/>
      <c r="G22" s="231" t="s">
        <v>542</v>
      </c>
      <c r="H22" s="232"/>
      <c r="L22" s="233"/>
      <c r="N22" s="234" t="s">
        <v>543</v>
      </c>
      <c r="O22" s="283"/>
      <c r="P22" s="360"/>
    </row>
    <row r="23" ht="15" customHeight="1" s="213" customFormat="1">
      <c r="A23" s="224"/>
      <c r="B23" s="250"/>
      <c r="C23" s="251"/>
      <c r="D23" s="251"/>
      <c r="E23" s="251"/>
      <c r="F23" s="252"/>
      <c r="G23" s="251"/>
      <c r="H23" s="253"/>
      <c r="I23" s="251"/>
      <c r="J23" s="251"/>
      <c r="K23" s="251"/>
      <c r="L23" s="254"/>
      <c r="O23" s="283"/>
      <c r="P23" s="360"/>
    </row>
    <row r="24" ht="15" customHeight="1" s="365" customFormat="1">
      <c r="A24" s="360"/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4"/>
      <c r="O24" s="283"/>
    </row>
    <row r="25" ht="15" customHeight="1" s="213" customFormat="1">
      <c r="A25" s="224"/>
      <c r="B25" s="255"/>
      <c r="G25" s="256"/>
      <c r="L25" s="214"/>
      <c r="O25" s="283"/>
      <c r="P25" s="360"/>
    </row>
    <row r="26" ht="15" customHeight="1" s="213" customFormat="1">
      <c r="A26" s="224"/>
      <c r="B26" s="255"/>
      <c r="G26" s="256"/>
      <c r="L26" s="214"/>
      <c r="O26" s="283"/>
      <c r="P26" s="360"/>
    </row>
    <row r="27" ht="15" customHeight="1" s="213" customFormat="1">
      <c r="A27" s="224"/>
      <c r="B27" s="255"/>
      <c r="G27" s="256"/>
      <c r="L27" s="214"/>
      <c r="O27" s="283"/>
      <c r="P27" s="360"/>
    </row>
    <row r="28" ht="15" customHeight="1" s="213" customFormat="1">
      <c r="A28" s="224"/>
      <c r="B28" s="255"/>
      <c r="G28" s="256"/>
      <c r="L28" s="214"/>
      <c r="O28" s="283"/>
      <c r="P28" s="360"/>
    </row>
    <row r="29" ht="15" customHeight="1" s="213" customFormat="1">
      <c r="A29" s="224"/>
      <c r="B29" s="255"/>
      <c r="G29" s="256"/>
      <c r="J29" s="381" t="s">
        <v>544</v>
      </c>
      <c r="O29" s="283"/>
      <c r="P29" s="360"/>
    </row>
    <row r="30" ht="15" customHeight="1" s="213" customFormat="1">
      <c r="A30" s="224"/>
      <c r="B30" s="255"/>
      <c r="G30" s="256"/>
      <c r="J30" s="213" t="s">
        <v>545</v>
      </c>
      <c r="O30" s="283"/>
      <c r="P30" s="360"/>
    </row>
    <row r="31" ht="15" customHeight="1" s="213" customFormat="1">
      <c r="A31" s="224"/>
      <c r="B31" s="255"/>
      <c r="G31" s="256"/>
      <c r="J31" s="213" t="s">
        <v>546</v>
      </c>
      <c r="O31" s="283"/>
      <c r="P31" s="360"/>
    </row>
    <row r="32" ht="15" customHeight="1" s="213" customFormat="1">
      <c r="A32" s="224"/>
      <c r="B32" s="255"/>
      <c r="G32" s="256"/>
      <c r="J32" s="213" t="s">
        <v>547</v>
      </c>
      <c r="O32" s="283"/>
      <c r="P32" s="360"/>
    </row>
    <row r="33" ht="15" customHeight="1" s="213" customFormat="1">
      <c r="A33" s="224"/>
      <c r="B33" s="255"/>
      <c r="G33" s="256"/>
      <c r="J33" s="213" t="s">
        <v>548</v>
      </c>
      <c r="O33" s="283"/>
      <c r="P33" s="360"/>
    </row>
    <row r="34" ht="15" customHeight="1" s="213" customFormat="1">
      <c r="A34" s="224"/>
      <c r="B34" s="255"/>
      <c r="G34" s="256"/>
      <c r="L34" s="214"/>
      <c r="O34" s="283"/>
      <c r="P34" s="360"/>
    </row>
    <row r="35" ht="15" customHeight="1" s="213" customFormat="1">
      <c r="A35" s="224"/>
      <c r="B35" s="255"/>
      <c r="G35" s="256"/>
      <c r="L35" s="214"/>
      <c r="O35" s="283"/>
      <c r="P35" s="360"/>
    </row>
    <row r="36" ht="15" customHeight="1" s="213" customFormat="1">
      <c r="A36" s="224"/>
      <c r="B36" s="255"/>
      <c r="G36" s="256"/>
      <c r="L36" s="214"/>
      <c r="O36" s="283"/>
      <c r="P36" s="360"/>
    </row>
    <row r="37" ht="15" customHeight="1" s="213" customFormat="1">
      <c r="B37" s="255"/>
      <c r="G37" s="256"/>
      <c r="L37" s="214"/>
      <c r="O37" s="283"/>
      <c r="P37" s="360"/>
    </row>
    <row r="38" ht="15" customHeight="1" s="213" customFormat="1">
      <c r="A38" s="39" t="s">
        <v>549</v>
      </c>
      <c r="B38" s="257"/>
      <c r="G38" s="258"/>
      <c r="H38" s="258"/>
      <c r="I38" s="258"/>
      <c r="L38" s="214"/>
      <c r="N38" s="234" t="s">
        <v>550</v>
      </c>
      <c r="O38" s="283"/>
      <c r="P38" s="360"/>
    </row>
    <row r="39" ht="15" customHeight="1" s="213" customFormat="1">
      <c r="A39" s="224"/>
      <c r="B39" s="257"/>
      <c r="G39" s="258"/>
      <c r="H39" s="258"/>
      <c r="I39" s="258"/>
      <c r="L39" s="214"/>
      <c r="N39" s="232"/>
      <c r="O39" s="283"/>
      <c r="P39" s="360"/>
    </row>
    <row r="40" ht="15" customHeight="1" s="213" customFormat="1">
      <c r="G40" s="258"/>
      <c r="H40" s="258"/>
      <c r="I40" s="258"/>
      <c r="L40" s="214"/>
      <c r="O40" s="283"/>
      <c r="P40" s="360"/>
    </row>
    <row r="41" ht="15" customHeight="1" s="213" customFormat="1">
      <c r="G41" s="258"/>
      <c r="H41" s="258"/>
      <c r="I41" s="258"/>
      <c r="L41" s="214"/>
      <c r="O41" s="283"/>
      <c r="P41" s="360"/>
    </row>
    <row r="42" ht="15" customHeight="1" s="213" customFormat="1">
      <c r="G42" s="258"/>
      <c r="H42" s="258"/>
      <c r="I42" s="258"/>
      <c r="L42" s="214"/>
      <c r="O42" s="283"/>
      <c r="P42" s="360"/>
    </row>
    <row r="43" ht="15" customHeight="1" s="213" customFormat="1">
      <c r="G43" s="258"/>
      <c r="H43" s="258"/>
      <c r="I43" s="258"/>
      <c r="L43" s="214"/>
      <c r="O43" s="283"/>
      <c r="P43" s="360"/>
    </row>
    <row r="44" ht="15" customHeight="1" s="213" customFormat="1">
      <c r="G44" s="258"/>
      <c r="H44" s="258"/>
      <c r="I44" s="258"/>
      <c r="L44" s="214"/>
      <c r="O44" s="283"/>
      <c r="P44" s="360"/>
    </row>
    <row r="45" ht="15" customHeight="1" s="213" customFormat="1">
      <c r="G45" s="258"/>
      <c r="H45" s="258"/>
      <c r="I45" s="258"/>
      <c r="L45" s="214"/>
      <c r="O45" s="283"/>
      <c r="P45" s="360"/>
    </row>
    <row r="46" ht="15" customHeight="1" s="213" customFormat="1">
      <c r="G46" s="258"/>
      <c r="H46" s="258"/>
      <c r="I46" s="258"/>
      <c r="L46" s="214"/>
      <c r="O46" s="283"/>
      <c r="P46" s="360"/>
    </row>
    <row r="47" ht="15" customHeight="1" s="213" customFormat="1">
      <c r="G47" s="258"/>
      <c r="H47" s="258"/>
      <c r="I47" s="258"/>
      <c r="L47" s="214"/>
      <c r="O47" s="283"/>
      <c r="P47" s="360"/>
    </row>
    <row r="48" ht="15" customHeight="1" s="213" customFormat="1">
      <c r="G48" s="258"/>
      <c r="H48" s="258"/>
      <c r="I48" s="258"/>
      <c r="L48" s="214"/>
      <c r="O48" s="283"/>
      <c r="P48" s="360"/>
    </row>
    <row r="49" ht="15" customHeight="1" s="213" customFormat="1">
      <c r="G49" s="258"/>
      <c r="H49" s="258"/>
      <c r="I49" s="258"/>
      <c r="L49" s="214"/>
      <c r="O49" s="283"/>
      <c r="P49" s="360"/>
    </row>
    <row r="50" ht="15" customHeight="1" s="213" customFormat="1">
      <c r="G50" s="258"/>
      <c r="H50" s="258"/>
      <c r="I50" s="258"/>
      <c r="L50" s="214"/>
      <c r="O50" s="283"/>
      <c r="P50" s="360"/>
    </row>
    <row r="51" ht="15" customHeight="1" s="213" customFormat="1">
      <c r="G51" s="258"/>
      <c r="H51" s="258"/>
      <c r="I51" s="258"/>
      <c r="L51" s="214"/>
      <c r="O51" s="283"/>
      <c r="P51" s="360"/>
    </row>
    <row r="52" ht="15" customHeight="1" s="213" customFormat="1">
      <c r="B52" s="213" t="s">
        <v>551</v>
      </c>
      <c r="C52" s="230" t="s">
        <v>173</v>
      </c>
      <c r="D52" s="213" t="s">
        <v>552</v>
      </c>
      <c r="F52" s="213" t="s">
        <v>152</v>
      </c>
      <c r="L52" s="214"/>
      <c r="O52" s="283"/>
      <c r="P52" s="360"/>
    </row>
    <row r="53" ht="15" customHeight="1" s="213" customFormat="1">
      <c r="B53" s="213" t="s">
        <v>553</v>
      </c>
      <c r="C53" s="230" t="s">
        <v>173</v>
      </c>
      <c r="D53" s="213" t="s">
        <v>554</v>
      </c>
      <c r="F53" s="213" t="s">
        <v>139</v>
      </c>
      <c r="L53" s="214"/>
      <c r="O53" s="283"/>
      <c r="P53" s="360"/>
    </row>
    <row r="54" ht="15" customHeight="1" s="213" customFormat="1">
      <c r="B54" s="213" t="s">
        <v>555</v>
      </c>
      <c r="C54" s="230" t="s">
        <v>173</v>
      </c>
      <c r="D54" s="213" t="s">
        <v>556</v>
      </c>
      <c r="F54" s="213" t="s">
        <v>2</v>
      </c>
      <c r="L54" s="214"/>
      <c r="O54" s="283"/>
      <c r="P54" s="360"/>
    </row>
    <row r="55" ht="15" customHeight="1" s="213" customFormat="1">
      <c r="B55" s="213" t="s">
        <v>557</v>
      </c>
      <c r="C55" s="230" t="s">
        <v>173</v>
      </c>
      <c r="D55" s="213" t="s">
        <v>558</v>
      </c>
      <c r="F55" s="213" t="s">
        <v>559</v>
      </c>
      <c r="L55" s="214"/>
      <c r="O55" s="283"/>
      <c r="P55" s="360"/>
    </row>
    <row r="56" ht="15" customHeight="1" s="213" customFormat="1">
      <c r="B56" s="213" t="s">
        <v>560</v>
      </c>
      <c r="C56" s="230" t="s">
        <v>173</v>
      </c>
      <c r="D56" s="213" t="s">
        <v>561</v>
      </c>
      <c r="F56" s="213" t="s">
        <v>562</v>
      </c>
      <c r="L56" s="214"/>
      <c r="O56" s="283"/>
      <c r="P56" s="360"/>
    </row>
    <row r="57" ht="15" customHeight="1" s="213" customFormat="1">
      <c r="B57" s="213" t="s">
        <v>563</v>
      </c>
      <c r="C57" s="230" t="s">
        <v>173</v>
      </c>
      <c r="D57" s="213" t="s">
        <v>564</v>
      </c>
      <c r="F57" s="213" t="s">
        <v>565</v>
      </c>
      <c r="L57" s="214"/>
      <c r="O57" s="283"/>
      <c r="P57" s="360"/>
    </row>
    <row r="58" ht="15" customHeight="1" s="213" customFormat="1">
      <c r="B58" s="213" t="s">
        <v>566</v>
      </c>
      <c r="C58" s="230" t="s">
        <v>173</v>
      </c>
      <c r="D58" s="213" t="s">
        <v>567</v>
      </c>
      <c r="F58" s="213" t="s">
        <v>568</v>
      </c>
      <c r="L58" s="214"/>
      <c r="O58" s="283"/>
      <c r="P58" s="360"/>
    </row>
    <row r="59" ht="15" customHeight="1" s="213" customFormat="1">
      <c r="B59" s="213" t="s">
        <v>569</v>
      </c>
      <c r="C59" s="230" t="s">
        <v>173</v>
      </c>
      <c r="D59" s="213" t="s">
        <v>570</v>
      </c>
      <c r="F59" s="213" t="s">
        <v>571</v>
      </c>
      <c r="L59" s="214"/>
      <c r="O59" s="283"/>
      <c r="P59" s="360"/>
    </row>
    <row r="60" ht="15" customHeight="1" s="213" customFormat="1">
      <c r="B60" s="213" t="s">
        <v>572</v>
      </c>
      <c r="C60" s="230" t="s">
        <v>173</v>
      </c>
      <c r="D60" s="213" t="s">
        <v>573</v>
      </c>
      <c r="F60" s="213" t="s">
        <v>574</v>
      </c>
      <c r="L60" s="214"/>
      <c r="O60" s="283"/>
      <c r="P60" s="360"/>
    </row>
    <row r="61" ht="15" customHeight="1" s="213" customFormat="1">
      <c r="B61" s="213" t="s">
        <v>575</v>
      </c>
      <c r="C61" s="230" t="s">
        <v>173</v>
      </c>
      <c r="F61" s="213" t="s">
        <v>576</v>
      </c>
      <c r="L61" s="214"/>
      <c r="O61" s="283"/>
      <c r="P61" s="360"/>
    </row>
    <row r="62" ht="15" customHeight="1" s="213" customFormat="1">
      <c r="B62" s="213" t="s">
        <v>577</v>
      </c>
      <c r="C62" s="230" t="s">
        <v>173</v>
      </c>
      <c r="F62" s="213" t="s">
        <v>578</v>
      </c>
      <c r="L62" s="214"/>
      <c r="O62" s="283"/>
      <c r="P62" s="360"/>
    </row>
    <row r="63" ht="15" customHeight="1" s="213" customFormat="1">
      <c r="B63" s="213" t="s">
        <v>25</v>
      </c>
      <c r="C63" s="230" t="s">
        <v>173</v>
      </c>
      <c r="F63" s="213" t="s">
        <v>579</v>
      </c>
      <c r="L63" s="214"/>
      <c r="O63" s="283"/>
      <c r="P63" s="360"/>
    </row>
    <row r="64" ht="15" customHeight="1" s="213" customFormat="1">
      <c r="B64" s="213" t="s">
        <v>580</v>
      </c>
      <c r="C64" s="230" t="s">
        <v>173</v>
      </c>
      <c r="F64" s="213" t="s">
        <v>581</v>
      </c>
      <c r="L64" s="214"/>
      <c r="O64" s="283"/>
      <c r="P64" s="360"/>
    </row>
    <row r="65" ht="15" customHeight="1" s="213" customFormat="1">
      <c r="B65" s="213" t="s">
        <v>582</v>
      </c>
      <c r="C65" s="230" t="s">
        <v>173</v>
      </c>
      <c r="E65" s="213" t="s">
        <v>583</v>
      </c>
      <c r="L65" s="214"/>
      <c r="O65" s="283"/>
      <c r="P65" s="360"/>
    </row>
    <row r="66" ht="15" customHeight="1" s="213" customFormat="1">
      <c r="B66" s="213" t="s">
        <v>584</v>
      </c>
      <c r="C66" s="230" t="s">
        <v>173</v>
      </c>
      <c r="F66" s="213" t="s">
        <v>585</v>
      </c>
      <c r="L66" s="214"/>
      <c r="O66" s="283"/>
      <c r="P66" s="360"/>
    </row>
    <row r="67" ht="15" customHeight="1" s="213" customFormat="1">
      <c r="B67" s="213" t="s">
        <v>586</v>
      </c>
      <c r="C67" s="230" t="s">
        <v>173</v>
      </c>
      <c r="D67" s="213" t="s">
        <v>587</v>
      </c>
      <c r="F67" s="213" t="s">
        <v>588</v>
      </c>
      <c r="L67" s="214"/>
      <c r="O67" s="283"/>
      <c r="P67" s="360"/>
    </row>
    <row r="68" ht="15" customHeight="1" s="213" customFormat="1">
      <c r="C68" s="230"/>
      <c r="L68" s="214"/>
      <c r="O68" s="283"/>
      <c r="P68" s="360"/>
    </row>
    <row r="69" ht="15" customHeight="1" s="213" customFormat="1">
      <c r="H69" s="258"/>
      <c r="I69" s="258"/>
      <c r="L69" s="214"/>
      <c r="O69" s="283"/>
      <c r="P69" s="360"/>
    </row>
    <row r="70" ht="15" customHeight="1" s="213" customFormat="1">
      <c r="C70" s="230"/>
      <c r="H70" s="258"/>
      <c r="I70" s="258"/>
      <c r="L70" s="214"/>
      <c r="O70" s="283"/>
      <c r="P70" s="360"/>
    </row>
    <row r="71" ht="15" customHeight="1" s="213" customFormat="1">
      <c r="C71" s="230"/>
      <c r="H71" s="258"/>
      <c r="I71" s="258"/>
      <c r="L71" s="214"/>
      <c r="O71" s="283"/>
      <c r="P71" s="360"/>
    </row>
    <row r="72" ht="15" customHeight="1" s="213" customFormat="1">
      <c r="C72" s="230"/>
      <c r="H72" s="258"/>
      <c r="I72" s="258"/>
      <c r="L72" s="214"/>
      <c r="O72" s="283"/>
      <c r="P72" s="360"/>
    </row>
    <row r="73" ht="15" customHeight="1" s="213" customFormat="1">
      <c r="C73" s="230"/>
      <c r="H73" s="258"/>
      <c r="I73" s="258"/>
      <c r="L73" s="214"/>
      <c r="O73" s="283"/>
      <c r="P73" s="360"/>
    </row>
    <row r="74" ht="15" customHeight="1" s="213" customFormat="1">
      <c r="C74" s="230"/>
      <c r="H74" s="258"/>
      <c r="I74" s="258"/>
      <c r="L74" s="214"/>
      <c r="O74" s="283"/>
      <c r="P74" s="360"/>
    </row>
    <row r="75" ht="15" customHeight="1" s="213" customFormat="1">
      <c r="C75" s="230"/>
      <c r="H75" s="258"/>
      <c r="I75" s="258"/>
      <c r="L75" s="214"/>
      <c r="O75" s="283"/>
      <c r="P75" s="360"/>
    </row>
    <row r="76" ht="15" customHeight="1" s="213" customFormat="1">
      <c r="C76" s="230"/>
      <c r="H76" s="259"/>
      <c r="I76" s="258"/>
      <c r="L76" s="214"/>
      <c r="O76" s="283"/>
      <c r="P76" s="360"/>
    </row>
    <row r="77" ht="15" customHeight="1" s="213" customFormat="1">
      <c r="C77" s="230"/>
      <c r="H77" s="258"/>
      <c r="I77" s="258"/>
      <c r="L77" s="214"/>
      <c r="O77" s="283"/>
      <c r="P77" s="360"/>
    </row>
    <row r="78" ht="15" customHeight="1" s="213" customFormat="1">
      <c r="C78" s="230"/>
      <c r="H78" s="258"/>
      <c r="I78" s="258"/>
      <c r="L78" s="214"/>
      <c r="O78" s="283"/>
      <c r="P78" s="360"/>
    </row>
    <row r="79" ht="15" customHeight="1" s="213" customFormat="1">
      <c r="C79" s="230"/>
      <c r="H79" s="258"/>
      <c r="I79" s="258"/>
      <c r="L79" s="214"/>
      <c r="O79" s="283"/>
      <c r="P79" s="360"/>
    </row>
    <row r="80" ht="15" customHeight="1" s="213" customFormat="1">
      <c r="C80" s="230"/>
      <c r="H80" s="258"/>
      <c r="I80" s="258"/>
      <c r="L80" s="214"/>
      <c r="O80" s="283"/>
      <c r="P80" s="360"/>
    </row>
    <row r="81" ht="15" customHeight="1" s="213" customFormat="1">
      <c r="B81" s="231" t="s">
        <v>589</v>
      </c>
      <c r="C81" s="230"/>
      <c r="H81" s="258"/>
      <c r="I81" s="258"/>
      <c r="L81" s="214"/>
      <c r="O81" s="283"/>
      <c r="P81" s="360"/>
    </row>
    <row r="82" ht="15" customHeight="1" s="213" customFormat="1">
      <c r="A82" s="260" t="s">
        <v>197</v>
      </c>
      <c r="B82" s="231" t="s">
        <v>590</v>
      </c>
      <c r="O82" s="283"/>
      <c r="P82" s="360"/>
    </row>
    <row r="83" ht="20.1" customHeight="1" s="213" customFormat="1">
      <c r="A83" s="261"/>
      <c r="B83" s="262" t="s">
        <v>591</v>
      </c>
      <c r="C83" s="262"/>
      <c r="D83" s="262"/>
      <c r="E83" s="262"/>
      <c r="F83" s="262" t="s">
        <v>592</v>
      </c>
      <c r="G83" s="263"/>
      <c r="H83" s="262"/>
      <c r="I83" s="262"/>
      <c r="J83" s="262"/>
      <c r="K83" s="262" t="s">
        <v>593</v>
      </c>
      <c r="L83" s="263"/>
      <c r="M83" s="263"/>
      <c r="N83" s="262"/>
      <c r="O83" s="283"/>
      <c r="P83" s="360"/>
    </row>
    <row r="84" ht="15" customHeight="1" s="213" customFormat="1">
      <c r="A84" s="230" t="s">
        <v>594</v>
      </c>
      <c r="B84" s="213" t="s">
        <v>595</v>
      </c>
      <c r="K84" s="213" t="s">
        <v>596</v>
      </c>
      <c r="L84" s="214"/>
      <c r="O84" s="283"/>
      <c r="P84" s="360"/>
    </row>
    <row r="85" ht="15" customHeight="1" s="213" customFormat="1">
      <c r="A85" s="213" t="s">
        <v>597</v>
      </c>
      <c r="B85" s="213" t="s">
        <v>598</v>
      </c>
      <c r="K85" s="213" t="s">
        <v>599</v>
      </c>
      <c r="L85" s="214"/>
      <c r="O85" s="283"/>
      <c r="P85" s="360"/>
    </row>
    <row r="86" ht="15" customHeight="1" s="213" customFormat="1">
      <c r="A86" s="230"/>
      <c r="K86" s="213" t="s">
        <v>600</v>
      </c>
      <c r="L86" s="214"/>
      <c r="O86" s="283"/>
      <c r="P86" s="360"/>
    </row>
    <row r="87" ht="15" customHeight="1" s="213" customFormat="1">
      <c r="A87" s="230" t="s">
        <v>601</v>
      </c>
      <c r="B87" s="230" t="s">
        <v>602</v>
      </c>
      <c r="K87" s="213" t="s">
        <v>603</v>
      </c>
      <c r="L87" s="214"/>
      <c r="O87" s="283"/>
      <c r="P87" s="360"/>
    </row>
    <row r="88" ht="15" customHeight="1" s="213" customFormat="1">
      <c r="A88" s="230"/>
      <c r="K88" s="213" t="s">
        <v>604</v>
      </c>
      <c r="L88" s="214"/>
      <c r="O88" s="283"/>
      <c r="P88" s="360"/>
    </row>
    <row r="89" ht="15" customHeight="1" s="213" customFormat="1">
      <c r="A89" s="230" t="s">
        <v>605</v>
      </c>
      <c r="B89" s="230" t="s">
        <v>606</v>
      </c>
      <c r="K89" s="213" t="s">
        <v>607</v>
      </c>
      <c r="L89" s="214"/>
      <c r="O89" s="283"/>
      <c r="P89" s="360"/>
    </row>
    <row r="90" ht="15" customHeight="1" s="213" customFormat="1">
      <c r="A90" s="230"/>
      <c r="B90" s="230" t="s">
        <v>608</v>
      </c>
      <c r="K90" s="213" t="s">
        <v>609</v>
      </c>
      <c r="L90" s="214"/>
      <c r="O90" s="283"/>
      <c r="P90" s="360"/>
    </row>
    <row r="91" ht="15" customHeight="1" s="213" customFormat="1">
      <c r="A91" s="236"/>
      <c r="B91" s="236"/>
      <c r="C91" s="236"/>
      <c r="D91" s="236"/>
      <c r="E91" s="236"/>
      <c r="F91" s="236"/>
      <c r="G91" s="236"/>
      <c r="H91" s="236"/>
      <c r="I91" s="236"/>
      <c r="J91" s="236"/>
      <c r="K91" s="236" t="s">
        <v>610</v>
      </c>
      <c r="L91" s="238"/>
      <c r="M91" s="236"/>
      <c r="N91" s="236"/>
      <c r="O91" s="283"/>
      <c r="P91" s="360"/>
    </row>
    <row r="92" ht="15" customHeight="1" s="213" customFormat="1">
      <c r="A92" s="230" t="s">
        <v>611</v>
      </c>
      <c r="B92" s="213" t="s">
        <v>612</v>
      </c>
      <c r="K92" s="213" t="s">
        <v>613</v>
      </c>
      <c r="L92" s="214"/>
      <c r="O92" s="283"/>
      <c r="P92" s="360"/>
    </row>
    <row r="93" ht="15" customHeight="1" s="213" customFormat="1">
      <c r="A93" s="213" t="s">
        <v>597</v>
      </c>
      <c r="B93" s="213" t="s">
        <v>614</v>
      </c>
      <c r="K93" s="213" t="s">
        <v>615</v>
      </c>
      <c r="L93" s="214"/>
      <c r="O93" s="283"/>
      <c r="P93" s="360"/>
    </row>
    <row r="94" ht="15" customHeight="1" s="213" customFormat="1">
      <c r="A94" s="230"/>
      <c r="K94" s="213" t="s">
        <v>616</v>
      </c>
      <c r="L94" s="214"/>
      <c r="O94" s="283"/>
      <c r="P94" s="360"/>
    </row>
    <row r="95" ht="15" customHeight="1" s="213" customFormat="1">
      <c r="A95" s="230" t="s">
        <v>601</v>
      </c>
      <c r="B95" s="230" t="s">
        <v>617</v>
      </c>
      <c r="K95" s="213" t="s">
        <v>618</v>
      </c>
      <c r="L95" s="214"/>
      <c r="O95" s="283"/>
      <c r="P95" s="360"/>
    </row>
    <row r="96" ht="15" customHeight="1" s="213" customFormat="1">
      <c r="A96" s="230"/>
      <c r="K96" s="213" t="s">
        <v>619</v>
      </c>
      <c r="L96" s="214"/>
      <c r="O96" s="283"/>
      <c r="P96" s="360"/>
    </row>
    <row r="97" ht="15" customHeight="1" s="213" customFormat="1">
      <c r="A97" s="230" t="s">
        <v>605</v>
      </c>
      <c r="B97" s="230" t="s">
        <v>620</v>
      </c>
      <c r="K97" s="213" t="s">
        <v>621</v>
      </c>
      <c r="L97" s="214"/>
      <c r="O97" s="283"/>
      <c r="P97" s="360"/>
    </row>
    <row r="98" ht="15" customHeight="1" s="213" customFormat="1">
      <c r="B98" s="230" t="s">
        <v>608</v>
      </c>
      <c r="K98" s="213" t="s">
        <v>622</v>
      </c>
      <c r="L98" s="214"/>
      <c r="O98" s="283"/>
      <c r="P98" s="360"/>
    </row>
    <row r="99" ht="15" customHeight="1" s="213" customFormat="1">
      <c r="A99" s="236"/>
      <c r="B99" s="236"/>
      <c r="C99" s="236"/>
      <c r="D99" s="236"/>
      <c r="E99" s="236"/>
      <c r="F99" s="236"/>
      <c r="G99" s="236"/>
      <c r="H99" s="236"/>
      <c r="I99" s="236"/>
      <c r="J99" s="236"/>
      <c r="K99" s="236" t="s">
        <v>623</v>
      </c>
      <c r="L99" s="238"/>
      <c r="M99" s="236"/>
      <c r="N99" s="236"/>
      <c r="O99" s="283"/>
      <c r="P99" s="360"/>
    </row>
    <row r="100" ht="15" customHeight="1" s="213" customFormat="1">
      <c r="A100" s="230" t="s">
        <v>624</v>
      </c>
      <c r="B100" s="213" t="s">
        <v>625</v>
      </c>
      <c r="K100" s="213" t="s">
        <v>626</v>
      </c>
      <c r="L100" s="214"/>
      <c r="O100" s="283"/>
      <c r="P100" s="360"/>
    </row>
    <row r="101" ht="15" customHeight="1" s="213" customFormat="1">
      <c r="A101" s="213" t="s">
        <v>597</v>
      </c>
      <c r="B101" s="213" t="s">
        <v>627</v>
      </c>
      <c r="K101" s="213" t="s">
        <v>628</v>
      </c>
      <c r="L101" s="214"/>
      <c r="O101" s="283"/>
      <c r="P101" s="360"/>
    </row>
    <row r="102" ht="15" customHeight="1" s="213" customFormat="1">
      <c r="A102" s="230"/>
      <c r="K102" s="213" t="s">
        <v>629</v>
      </c>
      <c r="L102" s="214"/>
      <c r="O102" s="283"/>
      <c r="P102" s="360"/>
    </row>
    <row r="103" ht="15" customHeight="1" s="213" customFormat="1">
      <c r="A103" s="230" t="s">
        <v>601</v>
      </c>
      <c r="B103" s="230" t="s">
        <v>630</v>
      </c>
      <c r="K103" s="213" t="s">
        <v>631</v>
      </c>
      <c r="L103" s="214"/>
      <c r="O103" s="283"/>
      <c r="P103" s="360"/>
    </row>
    <row r="104" ht="15" customHeight="1" s="213" customFormat="1">
      <c r="A104" s="230"/>
      <c r="K104" s="213" t="s">
        <v>632</v>
      </c>
      <c r="L104" s="214"/>
      <c r="O104" s="283"/>
      <c r="P104" s="360"/>
    </row>
    <row r="105" ht="15" customHeight="1" s="213" customFormat="1">
      <c r="A105" s="230" t="s">
        <v>605</v>
      </c>
      <c r="B105" s="230" t="s">
        <v>633</v>
      </c>
      <c r="K105" s="213" t="s">
        <v>634</v>
      </c>
      <c r="L105" s="214"/>
      <c r="O105" s="283"/>
      <c r="P105" s="360"/>
    </row>
    <row r="106" ht="15" customHeight="1" s="213" customFormat="1">
      <c r="B106" s="230" t="s">
        <v>608</v>
      </c>
      <c r="K106" s="213" t="s">
        <v>635</v>
      </c>
      <c r="L106" s="214"/>
      <c r="O106" s="283"/>
      <c r="P106" s="360"/>
    </row>
    <row r="107" ht="15" customHeight="1" s="213" customFormat="1">
      <c r="A107" s="236"/>
      <c r="B107" s="236"/>
      <c r="C107" s="236"/>
      <c r="D107" s="236"/>
      <c r="E107" s="236"/>
      <c r="F107" s="236"/>
      <c r="G107" s="236"/>
      <c r="H107" s="236"/>
      <c r="I107" s="236"/>
      <c r="J107" s="236"/>
      <c r="K107" s="236" t="s">
        <v>636</v>
      </c>
      <c r="L107" s="238"/>
      <c r="M107" s="236"/>
      <c r="N107" s="236"/>
      <c r="O107" s="283"/>
      <c r="P107" s="360"/>
    </row>
    <row r="108" ht="15" customHeight="1" s="213" customFormat="1">
      <c r="A108" s="230" t="s">
        <v>637</v>
      </c>
      <c r="B108" s="213" t="s">
        <v>638</v>
      </c>
      <c r="K108" s="213" t="s">
        <v>626</v>
      </c>
      <c r="L108" s="214"/>
      <c r="O108" s="283"/>
      <c r="P108" s="360"/>
    </row>
    <row r="109" ht="15" customHeight="1" s="213" customFormat="1">
      <c r="A109" s="213" t="s">
        <v>597</v>
      </c>
      <c r="B109" s="213" t="s">
        <v>639</v>
      </c>
      <c r="K109" s="213" t="s">
        <v>628</v>
      </c>
      <c r="L109" s="214"/>
      <c r="O109" s="283"/>
      <c r="P109" s="360"/>
    </row>
    <row r="110" ht="15" customHeight="1" s="213" customFormat="1">
      <c r="A110" s="230"/>
      <c r="K110" s="213" t="s">
        <v>629</v>
      </c>
      <c r="L110" s="214"/>
      <c r="O110" s="283"/>
      <c r="P110" s="360"/>
    </row>
    <row r="111" ht="15" customHeight="1" s="213" customFormat="1">
      <c r="A111" s="230" t="s">
        <v>601</v>
      </c>
      <c r="B111" s="213" t="s">
        <v>640</v>
      </c>
      <c r="K111" s="213" t="s">
        <v>631</v>
      </c>
      <c r="L111" s="214"/>
      <c r="O111" s="283"/>
      <c r="P111" s="360"/>
    </row>
    <row r="112" ht="15" customHeight="1" s="213" customFormat="1">
      <c r="A112" s="230"/>
      <c r="K112" s="213" t="s">
        <v>632</v>
      </c>
      <c r="L112" s="214"/>
      <c r="O112" s="283"/>
      <c r="P112" s="360"/>
    </row>
    <row r="113" ht="15" customHeight="1" s="213" customFormat="1">
      <c r="A113" s="230" t="s">
        <v>605</v>
      </c>
      <c r="B113" s="230" t="s">
        <v>641</v>
      </c>
      <c r="K113" s="213" t="s">
        <v>635</v>
      </c>
      <c r="L113" s="214"/>
      <c r="O113" s="283"/>
      <c r="P113" s="360"/>
    </row>
    <row r="114" ht="15" customHeight="1" s="213" customFormat="1">
      <c r="A114" s="236"/>
      <c r="B114" s="236"/>
      <c r="C114" s="236"/>
      <c r="D114" s="236"/>
      <c r="E114" s="236"/>
      <c r="F114" s="236"/>
      <c r="G114" s="236"/>
      <c r="H114" s="236"/>
      <c r="I114" s="236"/>
      <c r="J114" s="236"/>
      <c r="K114" s="236" t="s">
        <v>642</v>
      </c>
      <c r="L114" s="238"/>
      <c r="M114" s="236"/>
      <c r="N114" s="236"/>
      <c r="O114" s="283"/>
      <c r="P114" s="360"/>
    </row>
    <row r="115" ht="15" customHeight="1" s="213" customFormat="1">
      <c r="A115" s="230" t="s">
        <v>643</v>
      </c>
      <c r="B115" s="213" t="s">
        <v>644</v>
      </c>
      <c r="K115" s="213" t="s">
        <v>626</v>
      </c>
      <c r="L115" s="214"/>
      <c r="O115" s="283"/>
      <c r="P115" s="360"/>
    </row>
    <row r="116" ht="15" customHeight="1" s="213" customFormat="1">
      <c r="A116" s="213" t="s">
        <v>597</v>
      </c>
      <c r="B116" s="213" t="s">
        <v>645</v>
      </c>
      <c r="K116" s="213" t="s">
        <v>628</v>
      </c>
      <c r="L116" s="214"/>
      <c r="O116" s="283"/>
      <c r="P116" s="360"/>
    </row>
    <row r="117" ht="15" customHeight="1" s="213" customFormat="1">
      <c r="A117" s="230"/>
      <c r="K117" s="213" t="s">
        <v>629</v>
      </c>
      <c r="L117" s="214"/>
      <c r="O117" s="283"/>
      <c r="P117" s="360"/>
    </row>
    <row r="118" ht="15" customHeight="1" s="213" customFormat="1">
      <c r="A118" s="230" t="s">
        <v>601</v>
      </c>
      <c r="B118" s="230" t="s">
        <v>646</v>
      </c>
      <c r="K118" s="213" t="s">
        <v>632</v>
      </c>
      <c r="L118" s="214"/>
      <c r="O118" s="283"/>
      <c r="P118" s="360"/>
    </row>
    <row r="119" ht="15" customHeight="1" s="213" customFormat="1">
      <c r="A119" s="230"/>
      <c r="K119" s="213" t="s">
        <v>647</v>
      </c>
      <c r="L119" s="214"/>
      <c r="O119" s="283"/>
      <c r="P119" s="360"/>
    </row>
    <row r="120" ht="15" customHeight="1" s="213" customFormat="1">
      <c r="A120" s="230" t="s">
        <v>605</v>
      </c>
      <c r="B120" s="230" t="s">
        <v>633</v>
      </c>
      <c r="K120" s="213" t="s">
        <v>648</v>
      </c>
      <c r="L120" s="214"/>
      <c r="O120" s="283"/>
      <c r="P120" s="360"/>
    </row>
    <row r="121" ht="15" customHeight="1" s="213" customFormat="1">
      <c r="A121" s="230"/>
      <c r="B121" s="230" t="s">
        <v>608</v>
      </c>
      <c r="K121" s="213" t="s">
        <v>635</v>
      </c>
      <c r="L121" s="214"/>
      <c r="O121" s="283"/>
      <c r="P121" s="360"/>
    </row>
    <row r="122" ht="15" customHeight="1" s="213" customFormat="1">
      <c r="A122" s="236"/>
      <c r="B122" s="236"/>
      <c r="C122" s="236"/>
      <c r="D122" s="236"/>
      <c r="E122" s="236"/>
      <c r="F122" s="236"/>
      <c r="G122" s="236"/>
      <c r="H122" s="236"/>
      <c r="I122" s="236"/>
      <c r="J122" s="236"/>
      <c r="K122" s="236" t="s">
        <v>636</v>
      </c>
      <c r="L122" s="238"/>
      <c r="M122" s="236"/>
      <c r="N122" s="236"/>
      <c r="O122" s="283"/>
      <c r="P122" s="360"/>
    </row>
    <row r="123" ht="15" customHeight="1" s="213" customFormat="1">
      <c r="A123" s="230" t="s">
        <v>649</v>
      </c>
      <c r="B123" s="213" t="s">
        <v>650</v>
      </c>
      <c r="K123" s="213" t="s">
        <v>626</v>
      </c>
      <c r="L123" s="214"/>
      <c r="O123" s="283"/>
      <c r="P123" s="360"/>
    </row>
    <row r="124" ht="15" customHeight="1" s="213" customFormat="1">
      <c r="A124" s="213" t="s">
        <v>597</v>
      </c>
      <c r="B124" s="213" t="s">
        <v>651</v>
      </c>
      <c r="K124" s="213" t="s">
        <v>628</v>
      </c>
      <c r="L124" s="214"/>
      <c r="O124" s="283"/>
      <c r="P124" s="360"/>
    </row>
    <row r="125" ht="15" customHeight="1" s="213" customFormat="1">
      <c r="A125" s="230"/>
      <c r="K125" s="213" t="s">
        <v>629</v>
      </c>
      <c r="L125" s="214"/>
      <c r="O125" s="283"/>
      <c r="P125" s="360"/>
    </row>
    <row r="126" ht="15" customHeight="1" s="213" customFormat="1">
      <c r="A126" s="230" t="s">
        <v>601</v>
      </c>
      <c r="B126" s="230" t="s">
        <v>652</v>
      </c>
      <c r="K126" s="213" t="s">
        <v>653</v>
      </c>
      <c r="L126" s="214"/>
      <c r="O126" s="283"/>
      <c r="P126" s="360"/>
    </row>
    <row r="127" ht="15" customHeight="1" s="213" customFormat="1">
      <c r="A127" s="230"/>
      <c r="K127" s="213" t="s">
        <v>654</v>
      </c>
      <c r="L127" s="214"/>
      <c r="O127" s="283"/>
      <c r="P127" s="360"/>
    </row>
    <row r="128" ht="15" customHeight="1" s="213" customFormat="1">
      <c r="A128" s="230" t="s">
        <v>605</v>
      </c>
      <c r="B128" s="230" t="s">
        <v>655</v>
      </c>
      <c r="K128" s="213" t="s">
        <v>656</v>
      </c>
      <c r="L128" s="214"/>
      <c r="O128" s="283"/>
      <c r="P128" s="360"/>
    </row>
    <row r="129" ht="15" customHeight="1" s="213" customFormat="1">
      <c r="A129" s="245"/>
      <c r="B129" s="236"/>
      <c r="C129" s="236"/>
      <c r="D129" s="236"/>
      <c r="E129" s="236"/>
      <c r="F129" s="236"/>
      <c r="G129" s="236"/>
      <c r="H129" s="236"/>
      <c r="I129" s="236"/>
      <c r="J129" s="236"/>
      <c r="K129" s="236" t="s">
        <v>636</v>
      </c>
      <c r="L129" s="238"/>
      <c r="M129" s="236"/>
      <c r="N129" s="236"/>
      <c r="O129" s="283"/>
      <c r="P129" s="360"/>
    </row>
    <row r="130" ht="15" customHeight="1" s="213" customFormat="1">
      <c r="A130" s="264" t="s">
        <v>657</v>
      </c>
      <c r="B130" s="265" t="s">
        <v>658</v>
      </c>
      <c r="C130" s="265"/>
      <c r="D130" s="265"/>
      <c r="E130" s="265"/>
      <c r="F130" s="265"/>
      <c r="G130" s="265"/>
      <c r="H130" s="265"/>
      <c r="I130" s="265"/>
      <c r="J130" s="265"/>
      <c r="K130" s="265" t="s">
        <v>626</v>
      </c>
      <c r="L130" s="266"/>
      <c r="M130" s="265"/>
      <c r="N130" s="265"/>
      <c r="O130" s="283"/>
      <c r="P130" s="360"/>
    </row>
    <row r="131" ht="15" customHeight="1" s="213" customFormat="1">
      <c r="A131" s="213" t="s">
        <v>597</v>
      </c>
      <c r="B131" s="213" t="s">
        <v>659</v>
      </c>
      <c r="K131" s="213" t="s">
        <v>628</v>
      </c>
      <c r="L131" s="214"/>
      <c r="O131" s="283"/>
      <c r="P131" s="360"/>
    </row>
    <row r="132" ht="15" customHeight="1" s="213" customFormat="1">
      <c r="A132" s="230"/>
      <c r="K132" s="213" t="s">
        <v>629</v>
      </c>
      <c r="L132" s="214"/>
      <c r="O132" s="283"/>
      <c r="P132" s="360"/>
    </row>
    <row r="133" ht="15" customHeight="1" s="213" customFormat="1">
      <c r="A133" s="230" t="s">
        <v>601</v>
      </c>
      <c r="B133" s="230" t="s">
        <v>660</v>
      </c>
      <c r="K133" s="213" t="s">
        <v>632</v>
      </c>
      <c r="L133" s="214"/>
      <c r="O133" s="283"/>
      <c r="P133" s="360"/>
    </row>
    <row r="134" ht="15" customHeight="1" s="213" customFormat="1">
      <c r="A134" s="230"/>
      <c r="K134" s="213" t="s">
        <v>631</v>
      </c>
      <c r="L134" s="214"/>
      <c r="O134" s="283"/>
      <c r="P134" s="360"/>
    </row>
    <row r="135" ht="15" customHeight="1" s="213" customFormat="1">
      <c r="A135" s="230" t="s">
        <v>605</v>
      </c>
      <c r="B135" s="230" t="s">
        <v>633</v>
      </c>
      <c r="K135" s="213" t="s">
        <v>648</v>
      </c>
      <c r="L135" s="214"/>
      <c r="O135" s="283"/>
      <c r="P135" s="360"/>
    </row>
    <row r="136" ht="15" customHeight="1" s="213" customFormat="1">
      <c r="A136" s="230"/>
      <c r="B136" s="230" t="s">
        <v>608</v>
      </c>
      <c r="K136" s="213" t="s">
        <v>661</v>
      </c>
      <c r="L136" s="214"/>
      <c r="O136" s="283"/>
      <c r="P136" s="360"/>
    </row>
    <row r="137" ht="15" customHeight="1" s="213" customFormat="1">
      <c r="A137" s="267"/>
      <c r="B137" s="236"/>
      <c r="C137" s="236"/>
      <c r="D137" s="236"/>
      <c r="E137" s="236"/>
      <c r="F137" s="236"/>
      <c r="G137" s="236"/>
      <c r="H137" s="236"/>
      <c r="I137" s="236"/>
      <c r="J137" s="236"/>
      <c r="K137" s="236" t="s">
        <v>636</v>
      </c>
      <c r="L137" s="238"/>
      <c r="M137" s="236"/>
      <c r="N137" s="236"/>
      <c r="O137" s="283"/>
      <c r="P137" s="360"/>
    </row>
    <row r="138" ht="15" customHeight="1" s="213" customFormat="1">
      <c r="A138" s="223"/>
      <c r="O138" s="283"/>
      <c r="P138" s="360"/>
    </row>
    <row r="139" ht="15" customHeight="1" s="213" customFormat="1">
      <c r="A139" s="260" t="s">
        <v>197</v>
      </c>
      <c r="B139" s="231" t="s">
        <v>662</v>
      </c>
      <c r="O139" s="283"/>
      <c r="P139" s="360"/>
    </row>
    <row r="140" ht="20.1" customHeight="1" s="213" customFormat="1">
      <c r="A140" s="261"/>
      <c r="B140" s="262" t="s">
        <v>591</v>
      </c>
      <c r="C140" s="262"/>
      <c r="D140" s="262"/>
      <c r="E140" s="262"/>
      <c r="F140" s="262" t="s">
        <v>663</v>
      </c>
      <c r="G140" s="263"/>
      <c r="H140" s="262"/>
      <c r="I140" s="262"/>
      <c r="J140" s="262"/>
      <c r="K140" s="262" t="s">
        <v>593</v>
      </c>
      <c r="L140" s="263"/>
      <c r="M140" s="263"/>
      <c r="N140" s="262"/>
      <c r="O140" s="283"/>
      <c r="P140" s="360"/>
    </row>
    <row r="141" ht="15" customHeight="1" s="213" customFormat="1">
      <c r="A141" s="230" t="s">
        <v>664</v>
      </c>
      <c r="B141" s="213" t="s">
        <v>595</v>
      </c>
      <c r="K141" s="213" t="s">
        <v>665</v>
      </c>
      <c r="L141" s="214"/>
      <c r="O141" s="283"/>
      <c r="P141" s="360"/>
    </row>
    <row r="142" ht="15" customHeight="1" s="213" customFormat="1">
      <c r="A142" s="213" t="s">
        <v>597</v>
      </c>
      <c r="B142" s="213" t="s">
        <v>666</v>
      </c>
      <c r="K142" s="213" t="s">
        <v>667</v>
      </c>
      <c r="L142" s="214"/>
      <c r="O142" s="283"/>
      <c r="P142" s="360"/>
    </row>
    <row r="143" ht="15" customHeight="1" s="213" customFormat="1">
      <c r="A143" s="230"/>
      <c r="K143" s="213" t="s">
        <v>603</v>
      </c>
      <c r="L143" s="214"/>
      <c r="O143" s="283"/>
      <c r="P143" s="360"/>
    </row>
    <row r="144" ht="15" customHeight="1" s="213" customFormat="1">
      <c r="A144" s="230" t="s">
        <v>601</v>
      </c>
      <c r="B144" s="230" t="s">
        <v>668</v>
      </c>
      <c r="K144" s="213" t="s">
        <v>600</v>
      </c>
      <c r="L144" s="214"/>
      <c r="O144" s="283"/>
      <c r="P144" s="360"/>
    </row>
    <row r="145" ht="15" customHeight="1" s="213" customFormat="1">
      <c r="A145" s="230"/>
      <c r="K145" s="213" t="s">
        <v>669</v>
      </c>
      <c r="L145" s="214"/>
      <c r="O145" s="283"/>
      <c r="P145" s="360"/>
    </row>
    <row r="146" ht="15" customHeight="1" s="213" customFormat="1">
      <c r="A146" s="230" t="s">
        <v>605</v>
      </c>
      <c r="B146" s="230" t="s">
        <v>670</v>
      </c>
      <c r="K146" s="213" t="s">
        <v>609</v>
      </c>
      <c r="L146" s="214"/>
      <c r="O146" s="283"/>
      <c r="P146" s="360"/>
    </row>
    <row r="147" ht="15" customHeight="1" s="213" customFormat="1">
      <c r="A147" s="230"/>
      <c r="B147" s="230" t="s">
        <v>608</v>
      </c>
      <c r="K147" s="213" t="s">
        <v>671</v>
      </c>
      <c r="L147" s="214"/>
      <c r="O147" s="283"/>
      <c r="P147" s="360"/>
    </row>
    <row r="148" ht="15" customHeight="1" s="213" customFormat="1">
      <c r="A148" s="236"/>
      <c r="B148" s="236"/>
      <c r="C148" s="236"/>
      <c r="D148" s="236"/>
      <c r="E148" s="236"/>
      <c r="F148" s="236"/>
      <c r="G148" s="236"/>
      <c r="H148" s="236"/>
      <c r="I148" s="236"/>
      <c r="J148" s="236"/>
      <c r="K148" s="236" t="s">
        <v>610</v>
      </c>
      <c r="L148" s="238"/>
      <c r="M148" s="236"/>
      <c r="N148" s="236"/>
      <c r="O148" s="283"/>
      <c r="P148" s="360"/>
    </row>
    <row r="149" ht="15" customHeight="1" s="213" customFormat="1">
      <c r="A149" s="230" t="s">
        <v>672</v>
      </c>
      <c r="B149" s="213" t="s">
        <v>612</v>
      </c>
      <c r="K149" s="213" t="s">
        <v>673</v>
      </c>
      <c r="L149" s="214"/>
      <c r="O149" s="283"/>
      <c r="P149" s="360"/>
    </row>
    <row r="150" ht="15" customHeight="1" s="213" customFormat="1">
      <c r="A150" s="213" t="s">
        <v>597</v>
      </c>
      <c r="B150" s="213" t="s">
        <v>674</v>
      </c>
      <c r="K150" s="213" t="s">
        <v>675</v>
      </c>
      <c r="L150" s="214"/>
      <c r="O150" s="283"/>
      <c r="P150" s="360"/>
    </row>
    <row r="151" ht="15" customHeight="1" s="213" customFormat="1">
      <c r="A151" s="230"/>
      <c r="K151" s="213" t="s">
        <v>676</v>
      </c>
      <c r="L151" s="214"/>
      <c r="O151" s="283"/>
      <c r="P151" s="360"/>
    </row>
    <row r="152" ht="15" customHeight="1" s="213" customFormat="1">
      <c r="A152" s="230" t="s">
        <v>601</v>
      </c>
      <c r="B152" s="230" t="s">
        <v>677</v>
      </c>
      <c r="K152" s="213" t="s">
        <v>678</v>
      </c>
      <c r="L152" s="214"/>
      <c r="O152" s="283"/>
      <c r="P152" s="360"/>
    </row>
    <row r="153" ht="15" customHeight="1" s="213" customFormat="1">
      <c r="A153" s="230"/>
      <c r="K153" s="213" t="s">
        <v>679</v>
      </c>
      <c r="L153" s="214"/>
      <c r="O153" s="283"/>
      <c r="P153" s="360"/>
    </row>
    <row r="154" ht="15" customHeight="1" s="213" customFormat="1">
      <c r="A154" s="230" t="s">
        <v>605</v>
      </c>
      <c r="B154" s="230" t="s">
        <v>680</v>
      </c>
      <c r="K154" s="213" t="s">
        <v>681</v>
      </c>
      <c r="L154" s="214"/>
      <c r="O154" s="283"/>
      <c r="P154" s="360"/>
    </row>
    <row r="155" ht="15" customHeight="1" s="213" customFormat="1">
      <c r="A155" s="230"/>
      <c r="B155" s="230" t="s">
        <v>608</v>
      </c>
      <c r="K155" s="213" t="s">
        <v>682</v>
      </c>
      <c r="L155" s="214"/>
      <c r="O155" s="283"/>
      <c r="P155" s="360"/>
    </row>
    <row r="156" ht="15" customHeight="1" s="213" customFormat="1">
      <c r="A156" s="245"/>
      <c r="B156" s="236"/>
      <c r="C156" s="236"/>
      <c r="D156" s="236"/>
      <c r="E156" s="236"/>
      <c r="F156" s="236"/>
      <c r="G156" s="236"/>
      <c r="H156" s="236"/>
      <c r="I156" s="236"/>
      <c r="J156" s="236"/>
      <c r="K156" s="236" t="s">
        <v>683</v>
      </c>
      <c r="L156" s="238"/>
      <c r="M156" s="236"/>
      <c r="N156" s="236"/>
      <c r="O156" s="283"/>
      <c r="P156" s="360"/>
    </row>
    <row r="157" ht="15" customHeight="1" s="213" customFormat="1">
      <c r="A157" s="230"/>
      <c r="L157" s="214"/>
      <c r="O157" s="283"/>
      <c r="P157" s="360"/>
    </row>
    <row r="158" ht="15" customHeight="1" s="213" customFormat="1">
      <c r="A158" s="230"/>
      <c r="L158" s="214"/>
      <c r="O158" s="283"/>
      <c r="P158" s="360"/>
    </row>
    <row r="159" ht="15" customHeight="1" s="213" customFormat="1">
      <c r="A159" s="230"/>
      <c r="B159" s="231" t="s">
        <v>684</v>
      </c>
      <c r="L159" s="214"/>
      <c r="O159" s="283"/>
      <c r="P159" s="360"/>
    </row>
    <row r="160" ht="15" customHeight="1" s="213" customFormat="1">
      <c r="A160" s="260" t="s">
        <v>197</v>
      </c>
      <c r="B160" s="231" t="s">
        <v>590</v>
      </c>
      <c r="L160" s="238"/>
      <c r="O160" s="283"/>
      <c r="P160" s="360"/>
    </row>
    <row r="161" ht="20.1" customHeight="1" s="213" customFormat="1">
      <c r="A161" s="261"/>
      <c r="B161" s="262" t="s">
        <v>591</v>
      </c>
      <c r="C161" s="262"/>
      <c r="D161" s="262"/>
      <c r="E161" s="262"/>
      <c r="F161" s="262" t="s">
        <v>592</v>
      </c>
      <c r="G161" s="263"/>
      <c r="H161" s="262"/>
      <c r="I161" s="262"/>
      <c r="J161" s="262"/>
      <c r="K161" s="262" t="s">
        <v>593</v>
      </c>
      <c r="L161" s="268"/>
      <c r="M161" s="263"/>
      <c r="N161" s="262"/>
      <c r="O161" s="283"/>
      <c r="P161" s="360"/>
    </row>
    <row r="162" ht="15" customHeight="1" s="213" customFormat="1">
      <c r="A162" s="230" t="s">
        <v>685</v>
      </c>
      <c r="B162" s="213" t="s">
        <v>686</v>
      </c>
      <c r="K162" s="213" t="s">
        <v>596</v>
      </c>
      <c r="L162" s="214"/>
      <c r="O162" s="283"/>
      <c r="P162" s="360"/>
    </row>
    <row r="163" ht="15" customHeight="1" s="213" customFormat="1">
      <c r="A163" s="213" t="s">
        <v>597</v>
      </c>
      <c r="B163" s="269" t="s">
        <v>687</v>
      </c>
      <c r="K163" s="213" t="s">
        <v>599</v>
      </c>
      <c r="L163" s="214"/>
      <c r="O163" s="283"/>
      <c r="P163" s="360"/>
    </row>
    <row r="164" ht="15" customHeight="1" s="213" customFormat="1">
      <c r="A164" s="538" t="s">
        <v>601</v>
      </c>
      <c r="B164" s="270" t="s">
        <v>688</v>
      </c>
      <c r="C164" s="271"/>
      <c r="D164" s="271"/>
      <c r="E164" s="271"/>
      <c r="F164" s="271"/>
      <c r="G164" s="271"/>
      <c r="K164" s="213" t="s">
        <v>600</v>
      </c>
      <c r="L164" s="214"/>
      <c r="O164" s="283"/>
      <c r="P164" s="360"/>
    </row>
    <row r="165" ht="15" customHeight="1" s="213" customFormat="1">
      <c r="A165" s="538"/>
      <c r="B165" s="272" t="s">
        <v>689</v>
      </c>
      <c r="C165" s="272"/>
      <c r="D165" s="272"/>
      <c r="E165" s="272"/>
      <c r="F165" s="272"/>
      <c r="G165" s="272"/>
      <c r="K165" s="213" t="s">
        <v>604</v>
      </c>
      <c r="L165" s="214"/>
      <c r="O165" s="283"/>
      <c r="P165" s="360"/>
    </row>
    <row r="166" ht="15" customHeight="1" s="213" customFormat="1">
      <c r="A166" s="230" t="s">
        <v>605</v>
      </c>
      <c r="B166" s="230" t="s">
        <v>690</v>
      </c>
      <c r="K166" s="213" t="s">
        <v>691</v>
      </c>
      <c r="L166" s="214"/>
      <c r="O166" s="283"/>
      <c r="P166" s="360"/>
    </row>
    <row r="167" ht="15" customHeight="1" s="213" customFormat="1">
      <c r="A167" s="230"/>
      <c r="B167" s="230" t="s">
        <v>692</v>
      </c>
      <c r="K167" s="213" t="s">
        <v>669</v>
      </c>
      <c r="O167" s="283"/>
      <c r="P167" s="360"/>
    </row>
    <row r="168" ht="15" customHeight="1" s="213" customFormat="1">
      <c r="A168" s="236"/>
      <c r="B168" s="236"/>
      <c r="C168" s="236"/>
      <c r="D168" s="236"/>
      <c r="E168" s="236"/>
      <c r="F168" s="236"/>
      <c r="G168" s="236"/>
      <c r="H168" s="236"/>
      <c r="I168" s="236"/>
      <c r="J168" s="236"/>
      <c r="K168" s="236" t="s">
        <v>610</v>
      </c>
      <c r="L168" s="236"/>
      <c r="M168" s="236"/>
      <c r="N168" s="236"/>
      <c r="O168" s="283"/>
      <c r="P168" s="360"/>
    </row>
    <row r="169" ht="15" customHeight="1" s="213" customFormat="1">
      <c r="A169" s="223"/>
      <c r="O169" s="283"/>
      <c r="P169" s="360"/>
    </row>
    <row r="170" ht="15" customHeight="1" s="213" customFormat="1">
      <c r="A170" s="260" t="s">
        <v>197</v>
      </c>
      <c r="B170" s="231" t="s">
        <v>662</v>
      </c>
      <c r="O170" s="283"/>
      <c r="P170" s="360"/>
    </row>
    <row r="171" ht="20.1" customHeight="1" s="213" customFormat="1">
      <c r="A171" s="261"/>
      <c r="B171" s="262" t="s">
        <v>591</v>
      </c>
      <c r="C171" s="262"/>
      <c r="D171" s="262"/>
      <c r="E171" s="262"/>
      <c r="F171" s="262" t="s">
        <v>663</v>
      </c>
      <c r="G171" s="263"/>
      <c r="H171" s="262"/>
      <c r="I171" s="262"/>
      <c r="J171" s="262"/>
      <c r="K171" s="262" t="s">
        <v>593</v>
      </c>
      <c r="L171" s="263"/>
      <c r="M171" s="263"/>
      <c r="N171" s="262"/>
      <c r="O171" s="283"/>
      <c r="P171" s="360"/>
    </row>
    <row r="172" ht="15" customHeight="1" s="213" customFormat="1">
      <c r="A172" s="230" t="s">
        <v>693</v>
      </c>
      <c r="B172" s="213" t="s">
        <v>694</v>
      </c>
      <c r="K172" s="213" t="s">
        <v>665</v>
      </c>
      <c r="L172" s="214"/>
      <c r="O172" s="283"/>
      <c r="P172" s="360"/>
    </row>
    <row r="173" ht="15" customHeight="1" s="213" customFormat="1">
      <c r="A173" s="213" t="s">
        <v>597</v>
      </c>
      <c r="B173" s="213" t="s">
        <v>695</v>
      </c>
      <c r="K173" s="213" t="s">
        <v>667</v>
      </c>
      <c r="L173" s="214"/>
      <c r="O173" s="283"/>
      <c r="P173" s="360"/>
    </row>
    <row r="174" ht="15" customHeight="1" s="213" customFormat="1">
      <c r="A174" s="538" t="s">
        <v>601</v>
      </c>
      <c r="B174" s="270" t="s">
        <v>696</v>
      </c>
      <c r="C174" s="271"/>
      <c r="D174" s="271"/>
      <c r="E174" s="271"/>
      <c r="F174" s="271"/>
      <c r="G174" s="271"/>
      <c r="H174" s="271"/>
      <c r="K174" s="213" t="s">
        <v>603</v>
      </c>
      <c r="L174" s="214"/>
      <c r="O174" s="283"/>
      <c r="P174" s="360"/>
    </row>
    <row r="175" ht="15" customHeight="1" s="213" customFormat="1">
      <c r="A175" s="538"/>
      <c r="B175" s="272" t="s">
        <v>697</v>
      </c>
      <c r="C175" s="272"/>
      <c r="D175" s="272"/>
      <c r="E175" s="272"/>
      <c r="F175" s="272"/>
      <c r="G175" s="272"/>
      <c r="K175" s="213" t="s">
        <v>669</v>
      </c>
      <c r="L175" s="214"/>
      <c r="O175" s="283"/>
      <c r="P175" s="360"/>
    </row>
    <row r="176" ht="15" customHeight="1" s="213" customFormat="1">
      <c r="A176" s="230" t="s">
        <v>605</v>
      </c>
      <c r="B176" s="230" t="s">
        <v>698</v>
      </c>
      <c r="K176" s="213" t="s">
        <v>609</v>
      </c>
      <c r="L176" s="214"/>
      <c r="O176" s="283"/>
      <c r="P176" s="360"/>
    </row>
    <row r="177" ht="15" customHeight="1" s="213" customFormat="1">
      <c r="A177" s="230"/>
      <c r="B177" s="230" t="s">
        <v>699</v>
      </c>
      <c r="K177" s="213" t="s">
        <v>610</v>
      </c>
      <c r="L177" s="214"/>
      <c r="O177" s="283"/>
      <c r="P177" s="360"/>
    </row>
    <row r="178" ht="15" customHeight="1" s="213" customFormat="1">
      <c r="A178" s="245"/>
      <c r="B178" s="236"/>
      <c r="C178" s="236"/>
      <c r="D178" s="236"/>
      <c r="E178" s="236"/>
      <c r="F178" s="236"/>
      <c r="G178" s="236"/>
      <c r="H178" s="236"/>
      <c r="I178" s="236"/>
      <c r="J178" s="236"/>
      <c r="K178" s="236"/>
      <c r="L178" s="236"/>
      <c r="M178" s="236"/>
      <c r="N178" s="236"/>
      <c r="O178" s="283"/>
      <c r="P178" s="360"/>
    </row>
    <row r="179" ht="15" customHeight="1" s="213" customFormat="1">
      <c r="A179" s="230" t="s">
        <v>700</v>
      </c>
      <c r="B179" s="213" t="s">
        <v>701</v>
      </c>
      <c r="K179" s="213" t="s">
        <v>665</v>
      </c>
      <c r="L179" s="214"/>
      <c r="O179" s="283"/>
      <c r="P179" s="360"/>
    </row>
    <row r="180" ht="15" customHeight="1" s="213" customFormat="1">
      <c r="A180" s="213" t="s">
        <v>597</v>
      </c>
      <c r="B180" s="213" t="s">
        <v>702</v>
      </c>
      <c r="K180" s="213" t="s">
        <v>667</v>
      </c>
      <c r="L180" s="214"/>
      <c r="O180" s="283"/>
      <c r="P180" s="360"/>
    </row>
    <row r="181" ht="15" customHeight="1" s="213" customFormat="1">
      <c r="A181" s="538" t="s">
        <v>601</v>
      </c>
      <c r="B181" s="270" t="s">
        <v>703</v>
      </c>
      <c r="C181" s="271"/>
      <c r="D181" s="271"/>
      <c r="E181" s="271"/>
      <c r="F181" s="271"/>
      <c r="G181" s="271"/>
      <c r="K181" s="213" t="s">
        <v>603</v>
      </c>
      <c r="L181" s="214"/>
      <c r="O181" s="283"/>
      <c r="P181" s="360"/>
    </row>
    <row r="182" ht="15" customHeight="1" s="213" customFormat="1">
      <c r="A182" s="538"/>
      <c r="B182" s="272" t="s">
        <v>704</v>
      </c>
      <c r="C182" s="272"/>
      <c r="D182" s="272"/>
      <c r="E182" s="272"/>
      <c r="F182" s="272"/>
      <c r="G182" s="272"/>
      <c r="K182" s="213" t="s">
        <v>600</v>
      </c>
      <c r="L182" s="214"/>
      <c r="O182" s="283"/>
      <c r="P182" s="360"/>
    </row>
    <row r="183" ht="15" customHeight="1" s="213" customFormat="1">
      <c r="A183" s="230" t="s">
        <v>605</v>
      </c>
      <c r="B183" s="230" t="s">
        <v>705</v>
      </c>
      <c r="K183" s="213" t="s">
        <v>669</v>
      </c>
      <c r="L183" s="214"/>
      <c r="O183" s="283"/>
      <c r="P183" s="360"/>
    </row>
    <row r="184" ht="15" customHeight="1" s="213" customFormat="1">
      <c r="A184" s="230"/>
      <c r="B184" s="230" t="s">
        <v>706</v>
      </c>
      <c r="K184" s="213" t="s">
        <v>609</v>
      </c>
      <c r="L184" s="214"/>
      <c r="O184" s="283"/>
      <c r="P184" s="360"/>
    </row>
    <row r="185" ht="15" customHeight="1" s="213" customFormat="1">
      <c r="A185" s="230"/>
      <c r="K185" s="213" t="s">
        <v>610</v>
      </c>
      <c r="O185" s="283"/>
      <c r="P185" s="360"/>
    </row>
    <row r="186" ht="15" customHeight="1" s="213" customFormat="1">
      <c r="A186" s="245"/>
      <c r="B186" s="236"/>
      <c r="C186" s="236"/>
      <c r="D186" s="236"/>
      <c r="E186" s="236"/>
      <c r="F186" s="236"/>
      <c r="G186" s="236"/>
      <c r="H186" s="236"/>
      <c r="I186" s="236"/>
      <c r="J186" s="236"/>
      <c r="K186" s="236"/>
      <c r="L186" s="236"/>
      <c r="M186" s="236"/>
      <c r="N186" s="236"/>
      <c r="O186" s="283"/>
      <c r="P186" s="360"/>
    </row>
    <row r="187" ht="15" customHeight="1" s="213" customFormat="1">
      <c r="A187" s="230" t="s">
        <v>707</v>
      </c>
      <c r="B187" s="213" t="s">
        <v>686</v>
      </c>
      <c r="K187" s="213" t="s">
        <v>665</v>
      </c>
      <c r="L187" s="214"/>
      <c r="O187" s="283"/>
      <c r="P187" s="360"/>
    </row>
    <row r="188" ht="15" customHeight="1" s="213" customFormat="1">
      <c r="A188" s="213" t="s">
        <v>597</v>
      </c>
      <c r="B188" s="213" t="s">
        <v>708</v>
      </c>
      <c r="K188" s="213" t="s">
        <v>667</v>
      </c>
      <c r="L188" s="214"/>
      <c r="O188" s="283"/>
      <c r="P188" s="360"/>
    </row>
    <row r="189" ht="15" customHeight="1" s="213" customFormat="1">
      <c r="A189" s="538" t="s">
        <v>601</v>
      </c>
      <c r="B189" s="270" t="s">
        <v>709</v>
      </c>
      <c r="C189" s="271"/>
      <c r="D189" s="271"/>
      <c r="E189" s="271"/>
      <c r="F189" s="271"/>
      <c r="G189" s="271"/>
      <c r="K189" s="213" t="s">
        <v>600</v>
      </c>
      <c r="L189" s="214"/>
      <c r="O189" s="283"/>
      <c r="P189" s="360"/>
    </row>
    <row r="190" ht="15" customHeight="1" s="213" customFormat="1">
      <c r="A190" s="538"/>
      <c r="B190" s="272" t="s">
        <v>710</v>
      </c>
      <c r="C190" s="272"/>
      <c r="D190" s="272"/>
      <c r="E190" s="272"/>
      <c r="F190" s="272"/>
      <c r="G190" s="272"/>
      <c r="K190" s="213" t="s">
        <v>669</v>
      </c>
      <c r="L190" s="214"/>
      <c r="O190" s="283"/>
      <c r="P190" s="360"/>
    </row>
    <row r="191" ht="15" customHeight="1" s="213" customFormat="1">
      <c r="A191" s="230" t="s">
        <v>605</v>
      </c>
      <c r="B191" s="230" t="s">
        <v>711</v>
      </c>
      <c r="K191" s="213" t="s">
        <v>609</v>
      </c>
      <c r="L191" s="214"/>
      <c r="O191" s="283"/>
      <c r="P191" s="360"/>
    </row>
    <row r="192" ht="15" customHeight="1" s="213" customFormat="1">
      <c r="A192" s="230"/>
      <c r="B192" s="230" t="s">
        <v>712</v>
      </c>
      <c r="K192" s="213" t="s">
        <v>671</v>
      </c>
      <c r="L192" s="214"/>
      <c r="O192" s="283"/>
      <c r="P192" s="360"/>
    </row>
    <row r="193" ht="15" customHeight="1" s="213" customFormat="1">
      <c r="A193" s="230"/>
      <c r="K193" s="213" t="s">
        <v>610</v>
      </c>
      <c r="O193" s="283"/>
      <c r="P193" s="360"/>
    </row>
    <row r="194" ht="15" customHeight="1" s="213" customFormat="1">
      <c r="A194" s="245"/>
      <c r="B194" s="236"/>
      <c r="C194" s="236"/>
      <c r="D194" s="236"/>
      <c r="E194" s="236"/>
      <c r="F194" s="236"/>
      <c r="G194" s="236"/>
      <c r="H194" s="236"/>
      <c r="I194" s="236"/>
      <c r="J194" s="236"/>
      <c r="K194" s="236"/>
      <c r="L194" s="236"/>
      <c r="M194" s="236"/>
      <c r="N194" s="236"/>
      <c r="O194" s="283"/>
      <c r="P194" s="360"/>
    </row>
    <row r="195"/>
    <row r="196" ht="15" customHeight="1">
      <c r="A196" s="59" t="s">
        <v>713</v>
      </c>
      <c r="B196" s="4"/>
      <c r="C196" s="4"/>
      <c r="D196" s="4"/>
      <c r="E196" s="4"/>
      <c r="F196" s="4"/>
      <c r="G196" s="110"/>
      <c r="H196" s="110"/>
      <c r="I196" s="110"/>
      <c r="J196" s="4"/>
      <c r="K196" s="4"/>
      <c r="L196" s="207"/>
      <c r="M196" s="4"/>
      <c r="N196" s="4"/>
    </row>
    <row r="197" ht="15" customHeight="1">
      <c r="A197" s="273" t="s">
        <v>230</v>
      </c>
      <c r="B197" s="274" t="s">
        <v>714</v>
      </c>
      <c r="C197" s="274" t="s">
        <v>715</v>
      </c>
      <c r="D197" s="274" t="s">
        <v>716</v>
      </c>
      <c r="E197" s="274" t="s">
        <v>717</v>
      </c>
      <c r="F197" s="274" t="s">
        <v>718</v>
      </c>
      <c r="G197" s="274" t="s">
        <v>719</v>
      </c>
      <c r="H197" s="274" t="s">
        <v>720</v>
      </c>
      <c r="I197" s="274" t="s">
        <v>721</v>
      </c>
      <c r="J197" s="274" t="s">
        <v>722</v>
      </c>
      <c r="K197" s="274" t="s">
        <v>723</v>
      </c>
      <c r="L197" s="274" t="s">
        <v>73</v>
      </c>
      <c r="M197" s="274" t="s">
        <v>724</v>
      </c>
      <c r="N197" s="275" t="s">
        <v>725</v>
      </c>
    </row>
    <row r="198" ht="15" customHeight="1">
      <c r="A198" s="276"/>
      <c r="B198" s="277"/>
      <c r="C198" s="277"/>
      <c r="D198" s="277"/>
      <c r="E198" s="277"/>
      <c r="F198" s="277"/>
      <c r="G198" s="277"/>
      <c r="H198" s="277"/>
      <c r="I198" s="277"/>
      <c r="J198" s="277"/>
      <c r="K198" s="277"/>
      <c r="L198" s="277" t="s">
        <v>726</v>
      </c>
      <c r="M198" s="277"/>
      <c r="N198" s="278"/>
    </row>
    <row r="199" ht="15" customHeight="1">
      <c r="A199" s="187">
        <f>INPUT!D3</f>
        <v>101</v>
      </c>
      <c r="B199" s="189">
        <f>INPUT!H3*INPUT!I3*INPUT!J3*INPUT!AO3/1000</f>
        <v>8360</v>
      </c>
      <c r="C199" s="191">
        <f>INPUT!N3/COS(INPUT!P3)*2*INPUT!O3*INPUT!AQ3/1000</f>
        <v>24043.596138072862</v>
      </c>
      <c r="D199" s="189">
        <f>INPUT!K3*INPUT!L3*INPUT!AP3/1000</f>
        <v>8829.6704324174552</v>
      </c>
      <c r="E199" s="189">
        <f>0.85*INPUT!$B$3*INPUT!R3*INPUT!AA3/1000</f>
        <v>0</v>
      </c>
      <c r="F199" s="189">
        <f>INPUT!AD3*INPUT!AE3*INPUT!AF3*INPUT!BH3/1000</f>
        <v>1216</v>
      </c>
      <c r="G199" s="189">
        <f>INPUT!AG3*INPUT!AH3*INPUT!AI3*INPUT!BI3/1000</f>
        <v>0</v>
      </c>
      <c r="H199" s="189">
        <f>INPUT!AJ3*INPUT!$B$7/1000</f>
        <v>0</v>
      </c>
      <c r="I199" s="189">
        <f>INPUT!AK3*INPUT!$B$7/1000</f>
        <v>0</v>
      </c>
      <c r="J199" s="189">
        <f>INPUT!AL3</f>
        <v>0</v>
      </c>
      <c r="K199" s="189">
        <f>(INPUT!K3-2*INPUT!M3)*INPUT!Q3+INPUT!Q3*INPUT!Q3*TAN(INPUT!P3)</f>
        <v>0</v>
      </c>
      <c r="L199" s="280" t="str">
        <f>INPUT!BJ3</f>
        <v>8</v>
      </c>
      <c r="M199" s="191">
        <f>INPUT!BK3</f>
        <v>1245.273804662846</v>
      </c>
      <c r="N199" s="281">
        <f>INPUT!BL3</f>
        <v>49150.378220967606</v>
      </c>
    </row>
    <row r="200">
      <c r="A200" s="187">
        <f>INPUT!D4</f>
        <v>101</v>
      </c>
      <c r="B200" s="189">
        <f>INPUT!H4*INPUT!I4*INPUT!J4*INPUT!AO4/1000</f>
        <v>8360</v>
      </c>
      <c r="C200" s="191">
        <f>INPUT!N4/COS(INPUT!P4)*2*INPUT!O4*INPUT!AQ4/1000</f>
        <v>24043.596138072862</v>
      </c>
      <c r="D200" s="189">
        <f>INPUT!K4*INPUT!L4*INPUT!AP4/1000</f>
        <v>8829.6704324174552</v>
      </c>
      <c r="E200" s="189">
        <f>0.85*INPUT!$B$3*INPUT!R4*INPUT!AA4/1000</f>
        <v>0</v>
      </c>
      <c r="F200" s="189">
        <f>INPUT!AD4*INPUT!AE4*INPUT!AF4*INPUT!BH4/1000</f>
        <v>1216</v>
      </c>
      <c r="G200" s="189">
        <f>INPUT!AG4*INPUT!AH4*INPUT!AI4*INPUT!BI4/1000</f>
        <v>0</v>
      </c>
      <c r="H200" s="189">
        <f>INPUT!AJ4*INPUT!$B$7/1000</f>
        <v>0</v>
      </c>
      <c r="I200" s="189">
        <f>INPUT!AK4*INPUT!$B$7/1000</f>
        <v>0</v>
      </c>
      <c r="J200" s="189">
        <f>INPUT!AL4</f>
        <v>0</v>
      </c>
      <c r="K200" s="189">
        <f>(INPUT!K4-2*INPUT!M4)*INPUT!Q4+INPUT!Q4*INPUT!Q4*TAN(INPUT!P4)</f>
        <v>0</v>
      </c>
      <c r="L200" s="280" t="str">
        <f>INPUT!BJ4</f>
        <v>8</v>
      </c>
      <c r="M200" s="191">
        <f>INPUT!BK4</f>
        <v>1245.273804662846</v>
      </c>
      <c r="N200" s="281">
        <f>INPUT!BL4</f>
        <v>49150.378220967606</v>
      </c>
    </row>
    <row r="201">
      <c r="A201" s="187">
        <f>INPUT!D5</f>
        <v>101</v>
      </c>
      <c r="B201" s="189">
        <f>INPUT!H5*INPUT!I5*INPUT!J5*INPUT!AO5/1000</f>
        <v>8360</v>
      </c>
      <c r="C201" s="191">
        <f>INPUT!N5/COS(INPUT!P5)*2*INPUT!O5*INPUT!AQ5/1000</f>
        <v>24043.596138072862</v>
      </c>
      <c r="D201" s="189">
        <f>INPUT!K5*INPUT!L5*INPUT!AP5/1000</f>
        <v>8829.6704324174552</v>
      </c>
      <c r="E201" s="189">
        <f>0.85*INPUT!$B$3*INPUT!R5*INPUT!AA5/1000</f>
        <v>0</v>
      </c>
      <c r="F201" s="189">
        <f>INPUT!AD5*INPUT!AE5*INPUT!AF5*INPUT!BH5/1000</f>
        <v>1216</v>
      </c>
      <c r="G201" s="189">
        <f>INPUT!AG5*INPUT!AH5*INPUT!AI5*INPUT!BI5/1000</f>
        <v>0</v>
      </c>
      <c r="H201" s="189">
        <f>INPUT!AJ5*INPUT!$B$7/1000</f>
        <v>0</v>
      </c>
      <c r="I201" s="189">
        <f>INPUT!AK5*INPUT!$B$7/1000</f>
        <v>0</v>
      </c>
      <c r="J201" s="189">
        <f>INPUT!AL5</f>
        <v>0</v>
      </c>
      <c r="K201" s="189">
        <f>(INPUT!K5-2*INPUT!M5)*INPUT!Q5+INPUT!Q5*INPUT!Q5*TAN(INPUT!P5)</f>
        <v>0</v>
      </c>
      <c r="L201" s="280" t="str">
        <f>INPUT!BJ5</f>
        <v>8</v>
      </c>
      <c r="M201" s="191">
        <f>INPUT!BK5</f>
        <v>1245.273804662846</v>
      </c>
      <c r="N201" s="281">
        <f>INPUT!BL5</f>
        <v>49150.378220967606</v>
      </c>
    </row>
    <row r="202">
      <c r="A202" s="187">
        <f>INPUT!D6</f>
        <v>101</v>
      </c>
      <c r="B202" s="189">
        <f>INPUT!H6*INPUT!I6*INPUT!J6*INPUT!AO6/1000</f>
        <v>8360</v>
      </c>
      <c r="C202" s="191">
        <f>INPUT!N6/COS(INPUT!P6)*2*INPUT!O6*INPUT!AQ6/1000</f>
        <v>24043.596138072862</v>
      </c>
      <c r="D202" s="189">
        <f>INPUT!K6*INPUT!L6*INPUT!AP6/1000</f>
        <v>8829.6704324174552</v>
      </c>
      <c r="E202" s="189">
        <f>0.85*INPUT!$B$3*INPUT!R6*INPUT!AA6/1000</f>
        <v>0</v>
      </c>
      <c r="F202" s="189">
        <f>INPUT!AD6*INPUT!AE6*INPUT!AF6*INPUT!BH6/1000</f>
        <v>1216</v>
      </c>
      <c r="G202" s="189">
        <f>INPUT!AG6*INPUT!AH6*INPUT!AI6*INPUT!BI6/1000</f>
        <v>0</v>
      </c>
      <c r="H202" s="189">
        <f>INPUT!AJ6*INPUT!$B$7/1000</f>
        <v>0</v>
      </c>
      <c r="I202" s="189">
        <f>INPUT!AK6*INPUT!$B$7/1000</f>
        <v>0</v>
      </c>
      <c r="J202" s="189">
        <f>INPUT!AL6</f>
        <v>0</v>
      </c>
      <c r="K202" s="189">
        <f>(INPUT!K6-2*INPUT!M6)*INPUT!Q6+INPUT!Q6*INPUT!Q6*TAN(INPUT!P6)</f>
        <v>0</v>
      </c>
      <c r="L202" s="280" t="str">
        <f>INPUT!BJ6</f>
        <v>8</v>
      </c>
      <c r="M202" s="191">
        <f>INPUT!BK6</f>
        <v>1245.273804662846</v>
      </c>
      <c r="N202" s="281">
        <f>INPUT!BL6</f>
        <v>49150.378220967606</v>
      </c>
    </row>
    <row r="203">
      <c r="A203" s="187">
        <f>INPUT!D7</f>
        <v>101</v>
      </c>
      <c r="B203" s="189">
        <f>INPUT!H7*INPUT!I7*INPUT!J7*INPUT!AO7/1000</f>
        <v>8360</v>
      </c>
      <c r="C203" s="191">
        <f>INPUT!N7/COS(INPUT!P7)*2*INPUT!O7*INPUT!AQ7/1000</f>
        <v>24043.596138072862</v>
      </c>
      <c r="D203" s="189">
        <f>INPUT!K7*INPUT!L7*INPUT!AP7/1000</f>
        <v>8829.6704324174552</v>
      </c>
      <c r="E203" s="189">
        <f>0.85*INPUT!$B$3*INPUT!R7*INPUT!AA7/1000</f>
        <v>0</v>
      </c>
      <c r="F203" s="189">
        <f>INPUT!AD7*INPUT!AE7*INPUT!AF7*INPUT!BH7/1000</f>
        <v>1216</v>
      </c>
      <c r="G203" s="189">
        <f>INPUT!AG7*INPUT!AH7*INPUT!AI7*INPUT!BI7/1000</f>
        <v>0</v>
      </c>
      <c r="H203" s="189">
        <f>INPUT!AJ7*INPUT!$B$7/1000</f>
        <v>0</v>
      </c>
      <c r="I203" s="189">
        <f>INPUT!AK7*INPUT!$B$7/1000</f>
        <v>0</v>
      </c>
      <c r="J203" s="189">
        <f>INPUT!AL7</f>
        <v>0</v>
      </c>
      <c r="K203" s="189">
        <f>(INPUT!K7-2*INPUT!M7)*INPUT!Q7+INPUT!Q7*INPUT!Q7*TAN(INPUT!P7)</f>
        <v>0</v>
      </c>
      <c r="L203" s="280" t="str">
        <f>INPUT!BJ7</f>
        <v>8</v>
      </c>
      <c r="M203" s="191">
        <f>INPUT!BK7</f>
        <v>1245.273804662846</v>
      </c>
      <c r="N203" s="281">
        <f>INPUT!BL7</f>
        <v>49150.378220967606</v>
      </c>
    </row>
    <row r="204">
      <c r="A204" s="187">
        <f>INPUT!D8</f>
        <v>101</v>
      </c>
      <c r="B204" s="189">
        <f>INPUT!H8*INPUT!I8*INPUT!J8*INPUT!AO8/1000</f>
        <v>8360</v>
      </c>
      <c r="C204" s="191">
        <f>INPUT!N8/COS(INPUT!P8)*2*INPUT!O8*INPUT!AQ8/1000</f>
        <v>24043.596138072862</v>
      </c>
      <c r="D204" s="189">
        <f>INPUT!K8*INPUT!L8*INPUT!AP8/1000</f>
        <v>8829.6704324174552</v>
      </c>
      <c r="E204" s="189">
        <f>0.85*INPUT!$B$3*INPUT!R8*INPUT!AA8/1000</f>
        <v>0</v>
      </c>
      <c r="F204" s="189">
        <f>INPUT!AD8*INPUT!AE8*INPUT!AF8*INPUT!BH8/1000</f>
        <v>1216</v>
      </c>
      <c r="G204" s="189">
        <f>INPUT!AG8*INPUT!AH8*INPUT!AI8*INPUT!BI8/1000</f>
        <v>0</v>
      </c>
      <c r="H204" s="189">
        <f>INPUT!AJ8*INPUT!$B$7/1000</f>
        <v>0</v>
      </c>
      <c r="I204" s="189">
        <f>INPUT!AK8*INPUT!$B$7/1000</f>
        <v>0</v>
      </c>
      <c r="J204" s="189">
        <f>INPUT!AL8</f>
        <v>0</v>
      </c>
      <c r="K204" s="189">
        <f>(INPUT!K8-2*INPUT!M8)*INPUT!Q8+INPUT!Q8*INPUT!Q8*TAN(INPUT!P8)</f>
        <v>0</v>
      </c>
      <c r="L204" s="280" t="str">
        <f>INPUT!BJ8</f>
        <v>8</v>
      </c>
      <c r="M204" s="191">
        <f>INPUT!BK8</f>
        <v>1245.273804662846</v>
      </c>
      <c r="N204" s="281">
        <f>INPUT!BL8</f>
        <v>49150.378220967606</v>
      </c>
    </row>
    <row r="205">
      <c r="A205" s="187">
        <f>INPUT!D9</f>
        <v>101</v>
      </c>
      <c r="B205" s="189">
        <f>INPUT!H9*INPUT!I9*INPUT!J9*INPUT!AO9/1000</f>
        <v>8360</v>
      </c>
      <c r="C205" s="191">
        <f>INPUT!N9/COS(INPUT!P9)*2*INPUT!O9*INPUT!AQ9/1000</f>
        <v>24043.596138072862</v>
      </c>
      <c r="D205" s="189">
        <f>INPUT!K9*INPUT!L9*INPUT!AP9/1000</f>
        <v>8829.6704324174552</v>
      </c>
      <c r="E205" s="189">
        <f>0.85*INPUT!$B$3*INPUT!R9*INPUT!AA9/1000</f>
        <v>0</v>
      </c>
      <c r="F205" s="189">
        <f>INPUT!AD9*INPUT!AE9*INPUT!AF9*INPUT!BH9/1000</f>
        <v>1216</v>
      </c>
      <c r="G205" s="189">
        <f>INPUT!AG9*INPUT!AH9*INPUT!AI9*INPUT!BI9/1000</f>
        <v>0</v>
      </c>
      <c r="H205" s="189">
        <f>INPUT!AJ9*INPUT!$B$7/1000</f>
        <v>0</v>
      </c>
      <c r="I205" s="189">
        <f>INPUT!AK9*INPUT!$B$7/1000</f>
        <v>0</v>
      </c>
      <c r="J205" s="189">
        <f>INPUT!AL9</f>
        <v>0</v>
      </c>
      <c r="K205" s="189">
        <f>(INPUT!K9-2*INPUT!M9)*INPUT!Q9+INPUT!Q9*INPUT!Q9*TAN(INPUT!P9)</f>
        <v>0</v>
      </c>
      <c r="L205" s="280" t="str">
        <f>INPUT!BJ9</f>
        <v>8</v>
      </c>
      <c r="M205" s="191">
        <f>INPUT!BK9</f>
        <v>1245.273804662846</v>
      </c>
      <c r="N205" s="281">
        <f>INPUT!BL9</f>
        <v>49150.378220967606</v>
      </c>
    </row>
    <row r="206">
      <c r="A206" s="187">
        <f>INPUT!D10</f>
        <v>101</v>
      </c>
      <c r="B206" s="189">
        <f>INPUT!H10*INPUT!I10*INPUT!J10*INPUT!AO10/1000</f>
        <v>8360</v>
      </c>
      <c r="C206" s="191">
        <f>INPUT!N10/COS(INPUT!P10)*2*INPUT!O10*INPUT!AQ10/1000</f>
        <v>24043.596138072862</v>
      </c>
      <c r="D206" s="189">
        <f>INPUT!K10*INPUT!L10*INPUT!AP10/1000</f>
        <v>8829.6704324174552</v>
      </c>
      <c r="E206" s="189">
        <f>0.85*INPUT!$B$3*INPUT!R10*INPUT!AA10/1000</f>
        <v>0</v>
      </c>
      <c r="F206" s="189">
        <f>INPUT!AD10*INPUT!AE10*INPUT!AF10*INPUT!BH10/1000</f>
        <v>1216</v>
      </c>
      <c r="G206" s="189">
        <f>INPUT!AG10*INPUT!AH10*INPUT!AI10*INPUT!BI10/1000</f>
        <v>0</v>
      </c>
      <c r="H206" s="189">
        <f>INPUT!AJ10*INPUT!$B$7/1000</f>
        <v>0</v>
      </c>
      <c r="I206" s="189">
        <f>INPUT!AK10*INPUT!$B$7/1000</f>
        <v>0</v>
      </c>
      <c r="J206" s="189">
        <f>INPUT!AL10</f>
        <v>0</v>
      </c>
      <c r="K206" s="189">
        <f>(INPUT!K10-2*INPUT!M10)*INPUT!Q10+INPUT!Q10*INPUT!Q10*TAN(INPUT!P10)</f>
        <v>0</v>
      </c>
      <c r="L206" s="280" t="str">
        <f>INPUT!BJ10</f>
        <v>8</v>
      </c>
      <c r="M206" s="191">
        <f>INPUT!BK10</f>
        <v>1245.273804662846</v>
      </c>
      <c r="N206" s="281">
        <f>INPUT!BL10</f>
        <v>49150.378220967606</v>
      </c>
    </row>
    <row r="207">
      <c r="A207" s="187">
        <f>INPUT!D11</f>
        <v>101</v>
      </c>
      <c r="B207" s="189">
        <f>INPUT!H11*INPUT!I11*INPUT!J11*INPUT!AO11/1000</f>
        <v>8360</v>
      </c>
      <c r="C207" s="191">
        <f>INPUT!N11/COS(INPUT!P11)*2*INPUT!O11*INPUT!AQ11/1000</f>
        <v>24043.596138072862</v>
      </c>
      <c r="D207" s="189">
        <f>INPUT!K11*INPUT!L11*INPUT!AP11/1000</f>
        <v>8829.6704324174552</v>
      </c>
      <c r="E207" s="189">
        <f>0.85*INPUT!$B$3*INPUT!R11*INPUT!AA11/1000</f>
        <v>0</v>
      </c>
      <c r="F207" s="189">
        <f>INPUT!AD11*INPUT!AE11*INPUT!AF11*INPUT!BH11/1000</f>
        <v>1216</v>
      </c>
      <c r="G207" s="189">
        <f>INPUT!AG11*INPUT!AH11*INPUT!AI11*INPUT!BI11/1000</f>
        <v>0</v>
      </c>
      <c r="H207" s="189">
        <f>INPUT!AJ11*INPUT!$B$7/1000</f>
        <v>0</v>
      </c>
      <c r="I207" s="189">
        <f>INPUT!AK11*INPUT!$B$7/1000</f>
        <v>0</v>
      </c>
      <c r="J207" s="189">
        <f>INPUT!AL11</f>
        <v>0</v>
      </c>
      <c r="K207" s="189">
        <f>(INPUT!K11-2*INPUT!M11)*INPUT!Q11+INPUT!Q11*INPUT!Q11*TAN(INPUT!P11)</f>
        <v>0</v>
      </c>
      <c r="L207" s="280" t="str">
        <f>INPUT!BJ11</f>
        <v>8</v>
      </c>
      <c r="M207" s="191">
        <f>INPUT!BK11</f>
        <v>1245.273804662846</v>
      </c>
      <c r="N207" s="281">
        <f>INPUT!BL11</f>
        <v>49150.378220967606</v>
      </c>
    </row>
    <row r="208">
      <c r="A208" s="187">
        <f>INPUT!D12</f>
        <v>101</v>
      </c>
      <c r="B208" s="189">
        <f>INPUT!H12*INPUT!I12*INPUT!J12*INPUT!AO12/1000</f>
        <v>8360</v>
      </c>
      <c r="C208" s="191">
        <f>INPUT!N12/COS(INPUT!P12)*2*INPUT!O12*INPUT!AQ12/1000</f>
        <v>24043.596138072862</v>
      </c>
      <c r="D208" s="189">
        <f>INPUT!K12*INPUT!L12*INPUT!AP12/1000</f>
        <v>8829.6704324174552</v>
      </c>
      <c r="E208" s="189">
        <f>0.85*INPUT!$B$3*INPUT!R12*INPUT!AA12/1000</f>
        <v>0</v>
      </c>
      <c r="F208" s="189">
        <f>INPUT!AD12*INPUT!AE12*INPUT!AF12*INPUT!BH12/1000</f>
        <v>1216</v>
      </c>
      <c r="G208" s="189">
        <f>INPUT!AG12*INPUT!AH12*INPUT!AI12*INPUT!BI12/1000</f>
        <v>0</v>
      </c>
      <c r="H208" s="189">
        <f>INPUT!AJ12*INPUT!$B$7/1000</f>
        <v>0</v>
      </c>
      <c r="I208" s="189">
        <f>INPUT!AK12*INPUT!$B$7/1000</f>
        <v>0</v>
      </c>
      <c r="J208" s="189">
        <f>INPUT!AL12</f>
        <v>0</v>
      </c>
      <c r="K208" s="189">
        <f>(INPUT!K12-2*INPUT!M12)*INPUT!Q12+INPUT!Q12*INPUT!Q12*TAN(INPUT!P12)</f>
        <v>0</v>
      </c>
      <c r="L208" s="280" t="str">
        <f>INPUT!BJ12</f>
        <v>8</v>
      </c>
      <c r="M208" s="191">
        <f>INPUT!BK12</f>
        <v>1245.273804662846</v>
      </c>
      <c r="N208" s="281">
        <f>INPUT!BL12</f>
        <v>49150.378220967606</v>
      </c>
    </row>
    <row r="209">
      <c r="A209" s="187">
        <f>INPUT!D13</f>
        <v>101</v>
      </c>
      <c r="B209" s="189">
        <f>INPUT!H13*INPUT!I13*INPUT!J13*INPUT!AO13/1000</f>
        <v>8360</v>
      </c>
      <c r="C209" s="191">
        <f>INPUT!N13/COS(INPUT!P13)*2*INPUT!O13*INPUT!AQ13/1000</f>
        <v>24043.596138072862</v>
      </c>
      <c r="D209" s="189">
        <f>INPUT!K13*INPUT!L13*INPUT!AP13/1000</f>
        <v>8829.6704324174552</v>
      </c>
      <c r="E209" s="189">
        <f>0.85*INPUT!$B$3*INPUT!R13*INPUT!AA13/1000</f>
        <v>0</v>
      </c>
      <c r="F209" s="189">
        <f>INPUT!AD13*INPUT!AE13*INPUT!AF13*INPUT!BH13/1000</f>
        <v>1216</v>
      </c>
      <c r="G209" s="189">
        <f>INPUT!AG13*INPUT!AH13*INPUT!AI13*INPUT!BI13/1000</f>
        <v>0</v>
      </c>
      <c r="H209" s="189">
        <f>INPUT!AJ13*INPUT!$B$7/1000</f>
        <v>0</v>
      </c>
      <c r="I209" s="189">
        <f>INPUT!AK13*INPUT!$B$7/1000</f>
        <v>0</v>
      </c>
      <c r="J209" s="189">
        <f>INPUT!AL13</f>
        <v>0</v>
      </c>
      <c r="K209" s="189">
        <f>(INPUT!K13-2*INPUT!M13)*INPUT!Q13+INPUT!Q13*INPUT!Q13*TAN(INPUT!P13)</f>
        <v>0</v>
      </c>
      <c r="L209" s="280" t="str">
        <f>INPUT!BJ13</f>
        <v>8</v>
      </c>
      <c r="M209" s="191">
        <f>INPUT!BK13</f>
        <v>1245.273804662846</v>
      </c>
      <c r="N209" s="281">
        <f>INPUT!BL13</f>
        <v>49150.378220967606</v>
      </c>
    </row>
    <row r="210">
      <c r="A210" s="187">
        <f>INPUT!D14</f>
        <v>101</v>
      </c>
      <c r="B210" s="189">
        <f>INPUT!H14*INPUT!I14*INPUT!J14*INPUT!AO14/1000</f>
        <v>8360</v>
      </c>
      <c r="C210" s="191">
        <f>INPUT!N14/COS(INPUT!P14)*2*INPUT!O14*INPUT!AQ14/1000</f>
        <v>24043.596138072862</v>
      </c>
      <c r="D210" s="189">
        <f>INPUT!K14*INPUT!L14*INPUT!AP14/1000</f>
        <v>8829.6704324174552</v>
      </c>
      <c r="E210" s="189">
        <f>0.85*INPUT!$B$3*INPUT!R14*INPUT!AA14/1000</f>
        <v>0</v>
      </c>
      <c r="F210" s="189">
        <f>INPUT!AD14*INPUT!AE14*INPUT!AF14*INPUT!BH14/1000</f>
        <v>1216</v>
      </c>
      <c r="G210" s="189">
        <f>INPUT!AG14*INPUT!AH14*INPUT!AI14*INPUT!BI14/1000</f>
        <v>0</v>
      </c>
      <c r="H210" s="189">
        <f>INPUT!AJ14*INPUT!$B$7/1000</f>
        <v>0</v>
      </c>
      <c r="I210" s="189">
        <f>INPUT!AK14*INPUT!$B$7/1000</f>
        <v>0</v>
      </c>
      <c r="J210" s="189">
        <f>INPUT!AL14</f>
        <v>0</v>
      </c>
      <c r="K210" s="189">
        <f>(INPUT!K14-2*INPUT!M14)*INPUT!Q14+INPUT!Q14*INPUT!Q14*TAN(INPUT!P14)</f>
        <v>0</v>
      </c>
      <c r="L210" s="280" t="str">
        <f>INPUT!BJ14</f>
        <v>8</v>
      </c>
      <c r="M210" s="191">
        <f>INPUT!BK14</f>
        <v>1245.273804662846</v>
      </c>
      <c r="N210" s="281">
        <f>INPUT!BL14</f>
        <v>49150.378220967606</v>
      </c>
    </row>
    <row r="211">
      <c r="A211" s="187">
        <f>INPUT!D15</f>
        <v>101</v>
      </c>
      <c r="B211" s="189">
        <f>INPUT!H15*INPUT!I15*INPUT!J15*INPUT!AO15/1000</f>
        <v>8360</v>
      </c>
      <c r="C211" s="191">
        <f>INPUT!N15/COS(INPUT!P15)*2*INPUT!O15*INPUT!AQ15/1000</f>
        <v>24043.596138072862</v>
      </c>
      <c r="D211" s="189">
        <f>INPUT!K15*INPUT!L15*INPUT!AP15/1000</f>
        <v>8829.6704324174552</v>
      </c>
      <c r="E211" s="189">
        <f>0.85*INPUT!$B$3*INPUT!R15*INPUT!AA15/1000</f>
        <v>0</v>
      </c>
      <c r="F211" s="189">
        <f>INPUT!AD15*INPUT!AE15*INPUT!AF15*INPUT!BH15/1000</f>
        <v>1216</v>
      </c>
      <c r="G211" s="189">
        <f>INPUT!AG15*INPUT!AH15*INPUT!AI15*INPUT!BI15/1000</f>
        <v>0</v>
      </c>
      <c r="H211" s="189">
        <f>INPUT!AJ15*INPUT!$B$7/1000</f>
        <v>0</v>
      </c>
      <c r="I211" s="189">
        <f>INPUT!AK15*INPUT!$B$7/1000</f>
        <v>0</v>
      </c>
      <c r="J211" s="189">
        <f>INPUT!AL15</f>
        <v>0</v>
      </c>
      <c r="K211" s="189">
        <f>(INPUT!K15-2*INPUT!M15)*INPUT!Q15+INPUT!Q15*INPUT!Q15*TAN(INPUT!P15)</f>
        <v>0</v>
      </c>
      <c r="L211" s="280" t="str">
        <f>INPUT!BJ15</f>
        <v>8</v>
      </c>
      <c r="M211" s="191">
        <f>INPUT!BK15</f>
        <v>1245.273804662846</v>
      </c>
      <c r="N211" s="281">
        <f>INPUT!BL15</f>
        <v>49150.378220967606</v>
      </c>
    </row>
    <row r="212">
      <c r="A212" s="187">
        <f>INPUT!D16</f>
        <v>101</v>
      </c>
      <c r="B212" s="189">
        <f>INPUT!H16*INPUT!I16*INPUT!J16*INPUT!AO16/1000</f>
        <v>8360</v>
      </c>
      <c r="C212" s="191">
        <f>INPUT!N16/COS(INPUT!P16)*2*INPUT!O16*INPUT!AQ16/1000</f>
        <v>24043.596138072862</v>
      </c>
      <c r="D212" s="189">
        <f>INPUT!K16*INPUT!L16*INPUT!AP16/1000</f>
        <v>8829.6704324174552</v>
      </c>
      <c r="E212" s="189">
        <f>0.85*INPUT!$B$3*INPUT!R16*INPUT!AA16/1000</f>
        <v>0</v>
      </c>
      <c r="F212" s="189">
        <f>INPUT!AD16*INPUT!AE16*INPUT!AF16*INPUT!BH16/1000</f>
        <v>1216</v>
      </c>
      <c r="G212" s="189">
        <f>INPUT!AG16*INPUT!AH16*INPUT!AI16*INPUT!BI16/1000</f>
        <v>0</v>
      </c>
      <c r="H212" s="189">
        <f>INPUT!AJ16*INPUT!$B$7/1000</f>
        <v>0</v>
      </c>
      <c r="I212" s="189">
        <f>INPUT!AK16*INPUT!$B$7/1000</f>
        <v>0</v>
      </c>
      <c r="J212" s="189">
        <f>INPUT!AL16</f>
        <v>0</v>
      </c>
      <c r="K212" s="189">
        <f>(INPUT!K16-2*INPUT!M16)*INPUT!Q16+INPUT!Q16*INPUT!Q16*TAN(INPUT!P16)</f>
        <v>0</v>
      </c>
      <c r="L212" s="280" t="str">
        <f>INPUT!BJ16</f>
        <v>8</v>
      </c>
      <c r="M212" s="191">
        <f>INPUT!BK16</f>
        <v>1245.273804662846</v>
      </c>
      <c r="N212" s="281">
        <f>INPUT!BL16</f>
        <v>49150.378220967606</v>
      </c>
    </row>
    <row r="213">
      <c r="A213" s="187">
        <f>INPUT!D17</f>
        <v>101</v>
      </c>
      <c r="B213" s="189">
        <f>INPUT!H17*INPUT!I17*INPUT!J17*INPUT!AO17/1000</f>
        <v>8360</v>
      </c>
      <c r="C213" s="191">
        <f>INPUT!N17/COS(INPUT!P17)*2*INPUT!O17*INPUT!AQ17/1000</f>
        <v>24043.596138072862</v>
      </c>
      <c r="D213" s="189">
        <f>INPUT!K17*INPUT!L17*INPUT!AP17/1000</f>
        <v>8829.6704324174552</v>
      </c>
      <c r="E213" s="189">
        <f>0.85*INPUT!$B$3*INPUT!R17*INPUT!AA17/1000</f>
        <v>0</v>
      </c>
      <c r="F213" s="189">
        <f>INPUT!AD17*INPUT!AE17*INPUT!AF17*INPUT!BH17/1000</f>
        <v>1216</v>
      </c>
      <c r="G213" s="189">
        <f>INPUT!AG17*INPUT!AH17*INPUT!AI17*INPUT!BI17/1000</f>
        <v>0</v>
      </c>
      <c r="H213" s="189">
        <f>INPUT!AJ17*INPUT!$B$7/1000</f>
        <v>0</v>
      </c>
      <c r="I213" s="189">
        <f>INPUT!AK17*INPUT!$B$7/1000</f>
        <v>0</v>
      </c>
      <c r="J213" s="189">
        <f>INPUT!AL17</f>
        <v>0</v>
      </c>
      <c r="K213" s="189">
        <f>(INPUT!K17-2*INPUT!M17)*INPUT!Q17+INPUT!Q17*INPUT!Q17*TAN(INPUT!P17)</f>
        <v>0</v>
      </c>
      <c r="L213" s="280" t="str">
        <f>INPUT!BJ17</f>
        <v>8</v>
      </c>
      <c r="M213" s="191">
        <f>INPUT!BK17</f>
        <v>1245.273804662846</v>
      </c>
      <c r="N213" s="281">
        <f>INPUT!BL17</f>
        <v>49150.378220967606</v>
      </c>
    </row>
    <row r="214">
      <c r="A214" s="187">
        <f>INPUT!D18</f>
        <v>101</v>
      </c>
      <c r="B214" s="189">
        <f>INPUT!H18*INPUT!I18*INPUT!J18*INPUT!AO18/1000</f>
        <v>8360</v>
      </c>
      <c r="C214" s="191">
        <f>INPUT!N18/COS(INPUT!P18)*2*INPUT!O18*INPUT!AQ18/1000</f>
        <v>24043.596138072862</v>
      </c>
      <c r="D214" s="189">
        <f>INPUT!K18*INPUT!L18*INPUT!AP18/1000</f>
        <v>8829.6704324174552</v>
      </c>
      <c r="E214" s="189">
        <f>0.85*INPUT!$B$3*INPUT!R18*INPUT!AA18/1000</f>
        <v>0</v>
      </c>
      <c r="F214" s="189">
        <f>INPUT!AD18*INPUT!AE18*INPUT!AF18*INPUT!BH18/1000</f>
        <v>1216</v>
      </c>
      <c r="G214" s="189">
        <f>INPUT!AG18*INPUT!AH18*INPUT!AI18*INPUT!BI18/1000</f>
        <v>0</v>
      </c>
      <c r="H214" s="189">
        <f>INPUT!AJ18*INPUT!$B$7/1000</f>
        <v>0</v>
      </c>
      <c r="I214" s="189">
        <f>INPUT!AK18*INPUT!$B$7/1000</f>
        <v>0</v>
      </c>
      <c r="J214" s="189">
        <f>INPUT!AL18</f>
        <v>0</v>
      </c>
      <c r="K214" s="189">
        <f>(INPUT!K18-2*INPUT!M18)*INPUT!Q18+INPUT!Q18*INPUT!Q18*TAN(INPUT!P18)</f>
        <v>0</v>
      </c>
      <c r="L214" s="280" t="str">
        <f>INPUT!BJ18</f>
        <v>8</v>
      </c>
      <c r="M214" s="191">
        <f>INPUT!BK18</f>
        <v>1245.273804662846</v>
      </c>
      <c r="N214" s="281">
        <f>INPUT!BL18</f>
        <v>49150.378220967606</v>
      </c>
    </row>
    <row r="215">
      <c r="A215" s="187">
        <f>INPUT!D19</f>
        <v>101</v>
      </c>
      <c r="B215" s="189">
        <f>INPUT!H19*INPUT!I19*INPUT!J19*INPUT!AO19/1000</f>
        <v>8360</v>
      </c>
      <c r="C215" s="191">
        <f>INPUT!N19/COS(INPUT!P19)*2*INPUT!O19*INPUT!AQ19/1000</f>
        <v>24043.596138072862</v>
      </c>
      <c r="D215" s="189">
        <f>INPUT!K19*INPUT!L19*INPUT!AP19/1000</f>
        <v>8829.6704324174552</v>
      </c>
      <c r="E215" s="189">
        <f>0.85*INPUT!$B$3*INPUT!R19*INPUT!AA19/1000</f>
        <v>0</v>
      </c>
      <c r="F215" s="189">
        <f>INPUT!AD19*INPUT!AE19*INPUT!AF19*INPUT!BH19/1000</f>
        <v>1216</v>
      </c>
      <c r="G215" s="189">
        <f>INPUT!AG19*INPUT!AH19*INPUT!AI19*INPUT!BI19/1000</f>
        <v>0</v>
      </c>
      <c r="H215" s="189">
        <f>INPUT!AJ19*INPUT!$B$7/1000</f>
        <v>0</v>
      </c>
      <c r="I215" s="189">
        <f>INPUT!AK19*INPUT!$B$7/1000</f>
        <v>0</v>
      </c>
      <c r="J215" s="189">
        <f>INPUT!AL19</f>
        <v>0</v>
      </c>
      <c r="K215" s="189">
        <f>(INPUT!K19-2*INPUT!M19)*INPUT!Q19+INPUT!Q19*INPUT!Q19*TAN(INPUT!P19)</f>
        <v>0</v>
      </c>
      <c r="L215" s="280" t="str">
        <f>INPUT!BJ19</f>
        <v>8</v>
      </c>
      <c r="M215" s="191">
        <f>INPUT!BK19</f>
        <v>1245.273804662846</v>
      </c>
      <c r="N215" s="281">
        <f>INPUT!BL19</f>
        <v>49150.378220967606</v>
      </c>
    </row>
    <row r="216">
      <c r="A216" s="187">
        <f>INPUT!D20</f>
        <v>101</v>
      </c>
      <c r="B216" s="189">
        <f>INPUT!H20*INPUT!I20*INPUT!J20*INPUT!AO20/1000</f>
        <v>8360</v>
      </c>
      <c r="C216" s="191">
        <f>INPUT!N20/COS(INPUT!P20)*2*INPUT!O20*INPUT!AQ20/1000</f>
        <v>24043.596138072862</v>
      </c>
      <c r="D216" s="189">
        <f>INPUT!K20*INPUT!L20*INPUT!AP20/1000</f>
        <v>8829.6704324174552</v>
      </c>
      <c r="E216" s="189">
        <f>0.85*INPUT!$B$3*INPUT!R20*INPUT!AA20/1000</f>
        <v>0</v>
      </c>
      <c r="F216" s="189">
        <f>INPUT!AD20*INPUT!AE20*INPUT!AF20*INPUT!BH20/1000</f>
        <v>1216</v>
      </c>
      <c r="G216" s="189">
        <f>INPUT!AG20*INPUT!AH20*INPUT!AI20*INPUT!BI20/1000</f>
        <v>0</v>
      </c>
      <c r="H216" s="189">
        <f>INPUT!AJ20*INPUT!$B$7/1000</f>
        <v>0</v>
      </c>
      <c r="I216" s="189">
        <f>INPUT!AK20*INPUT!$B$7/1000</f>
        <v>0</v>
      </c>
      <c r="J216" s="189">
        <f>INPUT!AL20</f>
        <v>0</v>
      </c>
      <c r="K216" s="189">
        <f>(INPUT!K20-2*INPUT!M20)*INPUT!Q20+INPUT!Q20*INPUT!Q20*TAN(INPUT!P20)</f>
        <v>0</v>
      </c>
      <c r="L216" s="280" t="str">
        <f>INPUT!BJ20</f>
        <v>8</v>
      </c>
      <c r="M216" s="191">
        <f>INPUT!BK20</f>
        <v>1245.273804662846</v>
      </c>
      <c r="N216" s="281">
        <f>INPUT!BL20</f>
        <v>49150.378220967606</v>
      </c>
    </row>
    <row r="217">
      <c r="A217" s="187">
        <f>INPUT!D21</f>
        <v>101</v>
      </c>
      <c r="B217" s="189">
        <f>INPUT!H21*INPUT!I21*INPUT!J21*INPUT!AO21/1000</f>
        <v>8360</v>
      </c>
      <c r="C217" s="191">
        <f>INPUT!N21/COS(INPUT!P21)*2*INPUT!O21*INPUT!AQ21/1000</f>
        <v>24043.596138072862</v>
      </c>
      <c r="D217" s="189">
        <f>INPUT!K21*INPUT!L21*INPUT!AP21/1000</f>
        <v>8829.6704324174552</v>
      </c>
      <c r="E217" s="189">
        <f>0.85*INPUT!$B$3*INPUT!R21*INPUT!AA21/1000</f>
        <v>0</v>
      </c>
      <c r="F217" s="189">
        <f>INPUT!AD21*INPUT!AE21*INPUT!AF21*INPUT!BH21/1000</f>
        <v>1216</v>
      </c>
      <c r="G217" s="189">
        <f>INPUT!AG21*INPUT!AH21*INPUT!AI21*INPUT!BI21/1000</f>
        <v>0</v>
      </c>
      <c r="H217" s="189">
        <f>INPUT!AJ21*INPUT!$B$7/1000</f>
        <v>0</v>
      </c>
      <c r="I217" s="189">
        <f>INPUT!AK21*INPUT!$B$7/1000</f>
        <v>0</v>
      </c>
      <c r="J217" s="189">
        <f>INPUT!AL21</f>
        <v>0</v>
      </c>
      <c r="K217" s="189">
        <f>(INPUT!K21-2*INPUT!M21)*INPUT!Q21+INPUT!Q21*INPUT!Q21*TAN(INPUT!P21)</f>
        <v>0</v>
      </c>
      <c r="L217" s="280" t="str">
        <f>INPUT!BJ21</f>
        <v>8</v>
      </c>
      <c r="M217" s="191">
        <f>INPUT!BK21</f>
        <v>1245.273804662846</v>
      </c>
      <c r="N217" s="281">
        <f>INPUT!BL21</f>
        <v>49150.378220967606</v>
      </c>
    </row>
    <row r="218">
      <c r="A218" s="187">
        <f>INPUT!D22</f>
        <v>101</v>
      </c>
      <c r="B218" s="189">
        <f>INPUT!H22*INPUT!I22*INPUT!J22*INPUT!AO22/1000</f>
        <v>8360</v>
      </c>
      <c r="C218" s="191">
        <f>INPUT!N22/COS(INPUT!P22)*2*INPUT!O22*INPUT!AQ22/1000</f>
        <v>24043.596138072862</v>
      </c>
      <c r="D218" s="189">
        <f>INPUT!K22*INPUT!L22*INPUT!AP22/1000</f>
        <v>8829.6704324174552</v>
      </c>
      <c r="E218" s="189">
        <f>0.85*INPUT!$B$3*INPUT!R22*INPUT!AA22/1000</f>
        <v>0</v>
      </c>
      <c r="F218" s="189">
        <f>INPUT!AD22*INPUT!AE22*INPUT!AF22*INPUT!BH22/1000</f>
        <v>1216</v>
      </c>
      <c r="G218" s="189">
        <f>INPUT!AG22*INPUT!AH22*INPUT!AI22*INPUT!BI22/1000</f>
        <v>0</v>
      </c>
      <c r="H218" s="189">
        <f>INPUT!AJ22*INPUT!$B$7/1000</f>
        <v>0</v>
      </c>
      <c r="I218" s="189">
        <f>INPUT!AK22*INPUT!$B$7/1000</f>
        <v>0</v>
      </c>
      <c r="J218" s="189">
        <f>INPUT!AL22</f>
        <v>0</v>
      </c>
      <c r="K218" s="189">
        <f>(INPUT!K22-2*INPUT!M22)*INPUT!Q22+INPUT!Q22*INPUT!Q22*TAN(INPUT!P22)</f>
        <v>0</v>
      </c>
      <c r="L218" s="280" t="str">
        <f>INPUT!BJ22</f>
        <v>8</v>
      </c>
      <c r="M218" s="191">
        <f>INPUT!BK22</f>
        <v>1245.273804662846</v>
      </c>
      <c r="N218" s="281">
        <f>INPUT!BL22</f>
        <v>49150.378220967606</v>
      </c>
    </row>
    <row r="219">
      <c r="A219" s="187">
        <f>INPUT!D23</f>
        <v>101</v>
      </c>
      <c r="B219" s="189">
        <f>INPUT!H23*INPUT!I23*INPUT!J23*INPUT!AO23/1000</f>
        <v>8360</v>
      </c>
      <c r="C219" s="191">
        <f>INPUT!N23/COS(INPUT!P23)*2*INPUT!O23*INPUT!AQ23/1000</f>
        <v>24043.596138072862</v>
      </c>
      <c r="D219" s="189">
        <f>INPUT!K23*INPUT!L23*INPUT!AP23/1000</f>
        <v>8829.6704324174552</v>
      </c>
      <c r="E219" s="189">
        <f>0.85*INPUT!$B$3*INPUT!R23*INPUT!AA23/1000</f>
        <v>0</v>
      </c>
      <c r="F219" s="189">
        <f>INPUT!AD23*INPUT!AE23*INPUT!AF23*INPUT!BH23/1000</f>
        <v>1216</v>
      </c>
      <c r="G219" s="189">
        <f>INPUT!AG23*INPUT!AH23*INPUT!AI23*INPUT!BI23/1000</f>
        <v>0</v>
      </c>
      <c r="H219" s="189">
        <f>INPUT!AJ23*INPUT!$B$7/1000</f>
        <v>0</v>
      </c>
      <c r="I219" s="189">
        <f>INPUT!AK23*INPUT!$B$7/1000</f>
        <v>0</v>
      </c>
      <c r="J219" s="189">
        <f>INPUT!AL23</f>
        <v>0</v>
      </c>
      <c r="K219" s="189">
        <f>(INPUT!K23-2*INPUT!M23)*INPUT!Q23+INPUT!Q23*INPUT!Q23*TAN(INPUT!P23)</f>
        <v>0</v>
      </c>
      <c r="L219" s="280" t="str">
        <f>INPUT!BJ23</f>
        <v>8</v>
      </c>
      <c r="M219" s="191">
        <f>INPUT!BK23</f>
        <v>1245.273804662846</v>
      </c>
      <c r="N219" s="281">
        <f>INPUT!BL23</f>
        <v>49150.378220967606</v>
      </c>
    </row>
    <row r="220">
      <c r="A220" s="187">
        <f>INPUT!D24</f>
        <v>101</v>
      </c>
      <c r="B220" s="189">
        <f>INPUT!H24*INPUT!I24*INPUT!J24*INPUT!AO24/1000</f>
        <v>8360</v>
      </c>
      <c r="C220" s="191">
        <f>INPUT!N24/COS(INPUT!P24)*2*INPUT!O24*INPUT!AQ24/1000</f>
        <v>24043.596138072862</v>
      </c>
      <c r="D220" s="189">
        <f>INPUT!K24*INPUT!L24*INPUT!AP24/1000</f>
        <v>8829.6704324174552</v>
      </c>
      <c r="E220" s="189">
        <f>0.85*INPUT!$B$3*INPUT!R24*INPUT!AA24/1000</f>
        <v>0</v>
      </c>
      <c r="F220" s="189">
        <f>INPUT!AD24*INPUT!AE24*INPUT!AF24*INPUT!BH24/1000</f>
        <v>1216</v>
      </c>
      <c r="G220" s="189">
        <f>INPUT!AG24*INPUT!AH24*INPUT!AI24*INPUT!BI24/1000</f>
        <v>0</v>
      </c>
      <c r="H220" s="189">
        <f>INPUT!AJ24*INPUT!$B$7/1000</f>
        <v>0</v>
      </c>
      <c r="I220" s="189">
        <f>INPUT!AK24*INPUT!$B$7/1000</f>
        <v>0</v>
      </c>
      <c r="J220" s="189">
        <f>INPUT!AL24</f>
        <v>0</v>
      </c>
      <c r="K220" s="189">
        <f>(INPUT!K24-2*INPUT!M24)*INPUT!Q24+INPUT!Q24*INPUT!Q24*TAN(INPUT!P24)</f>
        <v>0</v>
      </c>
      <c r="L220" s="280" t="str">
        <f>INPUT!BJ24</f>
        <v>8</v>
      </c>
      <c r="M220" s="191">
        <f>INPUT!BK24</f>
        <v>1245.273804662846</v>
      </c>
      <c r="N220" s="281">
        <f>INPUT!BL24</f>
        <v>49150.378220967606</v>
      </c>
    </row>
    <row r="221">
      <c r="A221" s="187">
        <f>INPUT!D25</f>
        <v>101</v>
      </c>
      <c r="B221" s="189">
        <f>INPUT!H25*INPUT!I25*INPUT!J25*INPUT!AO25/1000</f>
        <v>8360</v>
      </c>
      <c r="C221" s="191">
        <f>INPUT!N25/COS(INPUT!P25)*2*INPUT!O25*INPUT!AQ25/1000</f>
        <v>24043.596138072862</v>
      </c>
      <c r="D221" s="189">
        <f>INPUT!K25*INPUT!L25*INPUT!AP25/1000</f>
        <v>8829.6704324174552</v>
      </c>
      <c r="E221" s="189">
        <f>0.85*INPUT!$B$3*INPUT!R25*INPUT!AA25/1000</f>
        <v>0</v>
      </c>
      <c r="F221" s="189">
        <f>INPUT!AD25*INPUT!AE25*INPUT!AF25*INPUT!BH25/1000</f>
        <v>1216</v>
      </c>
      <c r="G221" s="189">
        <f>INPUT!AG25*INPUT!AH25*INPUT!AI25*INPUT!BI25/1000</f>
        <v>0</v>
      </c>
      <c r="H221" s="189">
        <f>INPUT!AJ25*INPUT!$B$7/1000</f>
        <v>0</v>
      </c>
      <c r="I221" s="189">
        <f>INPUT!AK25*INPUT!$B$7/1000</f>
        <v>0</v>
      </c>
      <c r="J221" s="189">
        <f>INPUT!AL25</f>
        <v>0</v>
      </c>
      <c r="K221" s="189">
        <f>(INPUT!K25-2*INPUT!M25)*INPUT!Q25+INPUT!Q25*INPUT!Q25*TAN(INPUT!P25)</f>
        <v>0</v>
      </c>
      <c r="L221" s="280" t="str">
        <f>INPUT!BJ25</f>
        <v>8</v>
      </c>
      <c r="M221" s="191">
        <f>INPUT!BK25</f>
        <v>1245.273804662846</v>
      </c>
      <c r="N221" s="281">
        <f>INPUT!BL25</f>
        <v>49150.378220967606</v>
      </c>
    </row>
    <row r="222">
      <c r="A222" s="187">
        <f>INPUT!D26</f>
        <v>101</v>
      </c>
      <c r="B222" s="189">
        <f>INPUT!H26*INPUT!I26*INPUT!J26*INPUT!AO26/1000</f>
        <v>8360</v>
      </c>
      <c r="C222" s="191">
        <f>INPUT!N26/COS(INPUT!P26)*2*INPUT!O26*INPUT!AQ26/1000</f>
        <v>24043.596138072862</v>
      </c>
      <c r="D222" s="189">
        <f>INPUT!K26*INPUT!L26*INPUT!AP26/1000</f>
        <v>8829.6704324174552</v>
      </c>
      <c r="E222" s="189">
        <f>0.85*INPUT!$B$3*INPUT!R26*INPUT!AA26/1000</f>
        <v>0</v>
      </c>
      <c r="F222" s="189">
        <f>INPUT!AD26*INPUT!AE26*INPUT!AF26*INPUT!BH26/1000</f>
        <v>1216</v>
      </c>
      <c r="G222" s="189">
        <f>INPUT!AG26*INPUT!AH26*INPUT!AI26*INPUT!BI26/1000</f>
        <v>0</v>
      </c>
      <c r="H222" s="189">
        <f>INPUT!AJ26*INPUT!$B$7/1000</f>
        <v>0</v>
      </c>
      <c r="I222" s="189">
        <f>INPUT!AK26*INPUT!$B$7/1000</f>
        <v>0</v>
      </c>
      <c r="J222" s="189">
        <f>INPUT!AL26</f>
        <v>0</v>
      </c>
      <c r="K222" s="189">
        <f>(INPUT!K26-2*INPUT!M26)*INPUT!Q26+INPUT!Q26*INPUT!Q26*TAN(INPUT!P26)</f>
        <v>0</v>
      </c>
      <c r="L222" s="280" t="str">
        <f>INPUT!BJ26</f>
        <v>8</v>
      </c>
      <c r="M222" s="191">
        <f>INPUT!BK26</f>
        <v>1245.273804662846</v>
      </c>
      <c r="N222" s="281">
        <f>INPUT!BL26</f>
        <v>49150.378220967606</v>
      </c>
    </row>
    <row r="223">
      <c r="A223" s="187">
        <f>INPUT!D27</f>
        <v>101</v>
      </c>
      <c r="B223" s="189">
        <f>INPUT!H27*INPUT!I27*INPUT!J27*INPUT!AO27/1000</f>
        <v>8360</v>
      </c>
      <c r="C223" s="191">
        <f>INPUT!N27/COS(INPUT!P27)*2*INPUT!O27*INPUT!AQ27/1000</f>
        <v>24043.596138072862</v>
      </c>
      <c r="D223" s="189">
        <f>INPUT!K27*INPUT!L27*INPUT!AP27/1000</f>
        <v>8829.6704324174552</v>
      </c>
      <c r="E223" s="189">
        <f>0.85*INPUT!$B$3*INPUT!R27*INPUT!AA27/1000</f>
        <v>0</v>
      </c>
      <c r="F223" s="189">
        <f>INPUT!AD27*INPUT!AE27*INPUT!AF27*INPUT!BH27/1000</f>
        <v>1216</v>
      </c>
      <c r="G223" s="189">
        <f>INPUT!AG27*INPUT!AH27*INPUT!AI27*INPUT!BI27/1000</f>
        <v>0</v>
      </c>
      <c r="H223" s="189">
        <f>INPUT!AJ27*INPUT!$B$7/1000</f>
        <v>0</v>
      </c>
      <c r="I223" s="189">
        <f>INPUT!AK27*INPUT!$B$7/1000</f>
        <v>0</v>
      </c>
      <c r="J223" s="189">
        <f>INPUT!AL27</f>
        <v>0</v>
      </c>
      <c r="K223" s="189">
        <f>(INPUT!K27-2*INPUT!M27)*INPUT!Q27+INPUT!Q27*INPUT!Q27*TAN(INPUT!P27)</f>
        <v>0</v>
      </c>
      <c r="L223" s="280" t="str">
        <f>INPUT!BJ27</f>
        <v>8</v>
      </c>
      <c r="M223" s="191">
        <f>INPUT!BK27</f>
        <v>1245.273804662846</v>
      </c>
      <c r="N223" s="281">
        <f>INPUT!BL27</f>
        <v>49150.378220967606</v>
      </c>
    </row>
    <row r="224">
      <c r="A224" s="187">
        <f>INPUT!D28</f>
        <v>101</v>
      </c>
      <c r="B224" s="189">
        <f>INPUT!H28*INPUT!I28*INPUT!J28*INPUT!AO28/1000</f>
        <v>8360</v>
      </c>
      <c r="C224" s="191">
        <f>INPUT!N28/COS(INPUT!P28)*2*INPUT!O28*INPUT!AQ28/1000</f>
        <v>24043.596138072862</v>
      </c>
      <c r="D224" s="189">
        <f>INPUT!K28*INPUT!L28*INPUT!AP28/1000</f>
        <v>8829.6704324174552</v>
      </c>
      <c r="E224" s="189">
        <f>0.85*INPUT!$B$3*INPUT!R28*INPUT!AA28/1000</f>
        <v>0</v>
      </c>
      <c r="F224" s="189">
        <f>INPUT!AD28*INPUT!AE28*INPUT!AF28*INPUT!BH28/1000</f>
        <v>1216</v>
      </c>
      <c r="G224" s="189">
        <f>INPUT!AG28*INPUT!AH28*INPUT!AI28*INPUT!BI28/1000</f>
        <v>0</v>
      </c>
      <c r="H224" s="189">
        <f>INPUT!AJ28*INPUT!$B$7/1000</f>
        <v>0</v>
      </c>
      <c r="I224" s="189">
        <f>INPUT!AK28*INPUT!$B$7/1000</f>
        <v>0</v>
      </c>
      <c r="J224" s="189">
        <f>INPUT!AL28</f>
        <v>0</v>
      </c>
      <c r="K224" s="189">
        <f>(INPUT!K28-2*INPUT!M28)*INPUT!Q28+INPUT!Q28*INPUT!Q28*TAN(INPUT!P28)</f>
        <v>0</v>
      </c>
      <c r="L224" s="280" t="str">
        <f>INPUT!BJ28</f>
        <v>8</v>
      </c>
      <c r="M224" s="191">
        <f>INPUT!BK28</f>
        <v>1245.273804662846</v>
      </c>
      <c r="N224" s="281">
        <f>INPUT!BL28</f>
        <v>49150.378220967606</v>
      </c>
    </row>
    <row r="225">
      <c r="A225" s="187">
        <f>INPUT!D29</f>
        <v>101</v>
      </c>
      <c r="B225" s="189">
        <f>INPUT!H29*INPUT!I29*INPUT!J29*INPUT!AO29/1000</f>
        <v>8360</v>
      </c>
      <c r="C225" s="191">
        <f>INPUT!N29/COS(INPUT!P29)*2*INPUT!O29*INPUT!AQ29/1000</f>
        <v>24043.596138072862</v>
      </c>
      <c r="D225" s="189">
        <f>INPUT!K29*INPUT!L29*INPUT!AP29/1000</f>
        <v>8829.6704324174552</v>
      </c>
      <c r="E225" s="189">
        <f>0.85*INPUT!$B$3*INPUT!R29*INPUT!AA29/1000</f>
        <v>0</v>
      </c>
      <c r="F225" s="189">
        <f>INPUT!AD29*INPUT!AE29*INPUT!AF29*INPUT!BH29/1000</f>
        <v>1216</v>
      </c>
      <c r="G225" s="189">
        <f>INPUT!AG29*INPUT!AH29*INPUT!AI29*INPUT!BI29/1000</f>
        <v>0</v>
      </c>
      <c r="H225" s="189">
        <f>INPUT!AJ29*INPUT!$B$7/1000</f>
        <v>0</v>
      </c>
      <c r="I225" s="189">
        <f>INPUT!AK29*INPUT!$B$7/1000</f>
        <v>0</v>
      </c>
      <c r="J225" s="189">
        <f>INPUT!AL29</f>
        <v>0</v>
      </c>
      <c r="K225" s="189">
        <f>(INPUT!K29-2*INPUT!M29)*INPUT!Q29+INPUT!Q29*INPUT!Q29*TAN(INPUT!P29)</f>
        <v>0</v>
      </c>
      <c r="L225" s="280" t="str">
        <f>INPUT!BJ29</f>
        <v>8</v>
      </c>
      <c r="M225" s="191">
        <f>INPUT!BK29</f>
        <v>1245.273804662846</v>
      </c>
      <c r="N225" s="281">
        <f>INPUT!BL29</f>
        <v>49150.378220967606</v>
      </c>
    </row>
    <row r="226">
      <c r="A226" s="187">
        <f>INPUT!D30</f>
        <v>101</v>
      </c>
      <c r="B226" s="189">
        <f>INPUT!H30*INPUT!I30*INPUT!J30*INPUT!AO30/1000</f>
        <v>8360</v>
      </c>
      <c r="C226" s="191">
        <f>INPUT!N30/COS(INPUT!P30)*2*INPUT!O30*INPUT!AQ30/1000</f>
        <v>24043.596138072862</v>
      </c>
      <c r="D226" s="189">
        <f>INPUT!K30*INPUT!L30*INPUT!AP30/1000</f>
        <v>8829.6704324174552</v>
      </c>
      <c r="E226" s="189">
        <f>0.85*INPUT!$B$3*INPUT!R30*INPUT!AA30/1000</f>
        <v>0</v>
      </c>
      <c r="F226" s="189">
        <f>INPUT!AD30*INPUT!AE30*INPUT!AF30*INPUT!BH30/1000</f>
        <v>1216</v>
      </c>
      <c r="G226" s="189">
        <f>INPUT!AG30*INPUT!AH30*INPUT!AI30*INPUT!BI30/1000</f>
        <v>0</v>
      </c>
      <c r="H226" s="189">
        <f>INPUT!AJ30*INPUT!$B$7/1000</f>
        <v>0</v>
      </c>
      <c r="I226" s="189">
        <f>INPUT!AK30*INPUT!$B$7/1000</f>
        <v>0</v>
      </c>
      <c r="J226" s="189">
        <f>INPUT!AL30</f>
        <v>0</v>
      </c>
      <c r="K226" s="189">
        <f>(INPUT!K30-2*INPUT!M30)*INPUT!Q30+INPUT!Q30*INPUT!Q30*TAN(INPUT!P30)</f>
        <v>0</v>
      </c>
      <c r="L226" s="280" t="str">
        <f>INPUT!BJ30</f>
        <v>8</v>
      </c>
      <c r="M226" s="191">
        <f>INPUT!BK30</f>
        <v>1245.273804662846</v>
      </c>
      <c r="N226" s="281">
        <f>INPUT!BL30</f>
        <v>49150.378220967606</v>
      </c>
    </row>
    <row r="227">
      <c r="A227" s="187">
        <f>INPUT!D31</f>
        <v>101</v>
      </c>
      <c r="B227" s="189">
        <f>INPUT!H31*INPUT!I31*INPUT!J31*INPUT!AO31/1000</f>
        <v>8360</v>
      </c>
      <c r="C227" s="191">
        <f>INPUT!N31/COS(INPUT!P31)*2*INPUT!O31*INPUT!AQ31/1000</f>
        <v>24043.596138072862</v>
      </c>
      <c r="D227" s="189">
        <f>INPUT!K31*INPUT!L31*INPUT!AP31/1000</f>
        <v>8829.6704324174552</v>
      </c>
      <c r="E227" s="189">
        <f>0.85*INPUT!$B$3*INPUT!R31*INPUT!AA31/1000</f>
        <v>0</v>
      </c>
      <c r="F227" s="189">
        <f>INPUT!AD31*INPUT!AE31*INPUT!AF31*INPUT!BH31/1000</f>
        <v>1216</v>
      </c>
      <c r="G227" s="189">
        <f>INPUT!AG31*INPUT!AH31*INPUT!AI31*INPUT!BI31/1000</f>
        <v>0</v>
      </c>
      <c r="H227" s="189">
        <f>INPUT!AJ31*INPUT!$B$7/1000</f>
        <v>0</v>
      </c>
      <c r="I227" s="189">
        <f>INPUT!AK31*INPUT!$B$7/1000</f>
        <v>0</v>
      </c>
      <c r="J227" s="189">
        <f>INPUT!AL31</f>
        <v>0</v>
      </c>
      <c r="K227" s="189">
        <f>(INPUT!K31-2*INPUT!M31)*INPUT!Q31+INPUT!Q31*INPUT!Q31*TAN(INPUT!P31)</f>
        <v>0</v>
      </c>
      <c r="L227" s="280" t="str">
        <f>INPUT!BJ31</f>
        <v>8</v>
      </c>
      <c r="M227" s="191">
        <f>INPUT!BK31</f>
        <v>1245.273804662846</v>
      </c>
      <c r="N227" s="281">
        <f>INPUT!BL31</f>
        <v>49150.378220967606</v>
      </c>
    </row>
    <row r="228">
      <c r="A228" s="187">
        <f>INPUT!D32</f>
        <v>101</v>
      </c>
      <c r="B228" s="189">
        <f>INPUT!H32*INPUT!I32*INPUT!J32*INPUT!AO32/1000</f>
        <v>8360</v>
      </c>
      <c r="C228" s="191">
        <f>INPUT!N32/COS(INPUT!P32)*2*INPUT!O32*INPUT!AQ32/1000</f>
        <v>24043.596138072862</v>
      </c>
      <c r="D228" s="189">
        <f>INPUT!K32*INPUT!L32*INPUT!AP32/1000</f>
        <v>8829.6704324174552</v>
      </c>
      <c r="E228" s="189">
        <f>0.85*INPUT!$B$3*INPUT!R32*INPUT!AA32/1000</f>
        <v>0</v>
      </c>
      <c r="F228" s="189">
        <f>INPUT!AD32*INPUT!AE32*INPUT!AF32*INPUT!BH32/1000</f>
        <v>1216</v>
      </c>
      <c r="G228" s="189">
        <f>INPUT!AG32*INPUT!AH32*INPUT!AI32*INPUT!BI32/1000</f>
        <v>0</v>
      </c>
      <c r="H228" s="189">
        <f>INPUT!AJ32*INPUT!$B$7/1000</f>
        <v>0</v>
      </c>
      <c r="I228" s="189">
        <f>INPUT!AK32*INPUT!$B$7/1000</f>
        <v>0</v>
      </c>
      <c r="J228" s="189">
        <f>INPUT!AL32</f>
        <v>0</v>
      </c>
      <c r="K228" s="189">
        <f>(INPUT!K32-2*INPUT!M32)*INPUT!Q32+INPUT!Q32*INPUT!Q32*TAN(INPUT!P32)</f>
        <v>0</v>
      </c>
      <c r="L228" s="280" t="str">
        <f>INPUT!BJ32</f>
        <v>8</v>
      </c>
      <c r="M228" s="191">
        <f>INPUT!BK32</f>
        <v>1245.273804662846</v>
      </c>
      <c r="N228" s="281">
        <f>INPUT!BL32</f>
        <v>49150.378220967606</v>
      </c>
    </row>
    <row r="229">
      <c r="A229" s="187">
        <f>INPUT!D33</f>
        <v>101</v>
      </c>
      <c r="B229" s="189">
        <f>INPUT!H33*INPUT!I33*INPUT!J33*INPUT!AO33/1000</f>
        <v>8360</v>
      </c>
      <c r="C229" s="191">
        <f>INPUT!N33/COS(INPUT!P33)*2*INPUT!O33*INPUT!AQ33/1000</f>
        <v>24043.596138072862</v>
      </c>
      <c r="D229" s="189">
        <f>INPUT!K33*INPUT!L33*INPUT!AP33/1000</f>
        <v>8829.6704324174552</v>
      </c>
      <c r="E229" s="189">
        <f>0.85*INPUT!$B$3*INPUT!R33*INPUT!AA33/1000</f>
        <v>0</v>
      </c>
      <c r="F229" s="189">
        <f>INPUT!AD33*INPUT!AE33*INPUT!AF33*INPUT!BH33/1000</f>
        <v>1216</v>
      </c>
      <c r="G229" s="189">
        <f>INPUT!AG33*INPUT!AH33*INPUT!AI33*INPUT!BI33/1000</f>
        <v>0</v>
      </c>
      <c r="H229" s="189">
        <f>INPUT!AJ33*INPUT!$B$7/1000</f>
        <v>0</v>
      </c>
      <c r="I229" s="189">
        <f>INPUT!AK33*INPUT!$B$7/1000</f>
        <v>0</v>
      </c>
      <c r="J229" s="189">
        <f>INPUT!AL33</f>
        <v>0</v>
      </c>
      <c r="K229" s="189">
        <f>(INPUT!K33-2*INPUT!M33)*INPUT!Q33+INPUT!Q33*INPUT!Q33*TAN(INPUT!P33)</f>
        <v>0</v>
      </c>
      <c r="L229" s="280" t="str">
        <f>INPUT!BJ33</f>
        <v>8</v>
      </c>
      <c r="M229" s="191">
        <f>INPUT!BK33</f>
        <v>1245.273804662846</v>
      </c>
      <c r="N229" s="281">
        <f>INPUT!BL33</f>
        <v>49150.378220967606</v>
      </c>
    </row>
    <row r="230">
      <c r="A230" s="187">
        <f>INPUT!D34</f>
        <v>101</v>
      </c>
      <c r="B230" s="189">
        <f>INPUT!H34*INPUT!I34*INPUT!J34*INPUT!AO34/1000</f>
        <v>8360</v>
      </c>
      <c r="C230" s="191">
        <f>INPUT!N34/COS(INPUT!P34)*2*INPUT!O34*INPUT!AQ34/1000</f>
        <v>24043.596138072862</v>
      </c>
      <c r="D230" s="189">
        <f>INPUT!K34*INPUT!L34*INPUT!AP34/1000</f>
        <v>8829.6704324174552</v>
      </c>
      <c r="E230" s="189">
        <f>0.85*INPUT!$B$3*INPUT!R34*INPUT!AA34/1000</f>
        <v>0</v>
      </c>
      <c r="F230" s="189">
        <f>INPUT!AD34*INPUT!AE34*INPUT!AF34*INPUT!BH34/1000</f>
        <v>1216</v>
      </c>
      <c r="G230" s="189">
        <f>INPUT!AG34*INPUT!AH34*INPUT!AI34*INPUT!BI34/1000</f>
        <v>0</v>
      </c>
      <c r="H230" s="189">
        <f>INPUT!AJ34*INPUT!$B$7/1000</f>
        <v>0</v>
      </c>
      <c r="I230" s="189">
        <f>INPUT!AK34*INPUT!$B$7/1000</f>
        <v>0</v>
      </c>
      <c r="J230" s="189">
        <f>INPUT!AL34</f>
        <v>0</v>
      </c>
      <c r="K230" s="189">
        <f>(INPUT!K34-2*INPUT!M34)*INPUT!Q34+INPUT!Q34*INPUT!Q34*TAN(INPUT!P34)</f>
        <v>0</v>
      </c>
      <c r="L230" s="280" t="str">
        <f>INPUT!BJ34</f>
        <v>8</v>
      </c>
      <c r="M230" s="191">
        <f>INPUT!BK34</f>
        <v>1245.273804662846</v>
      </c>
      <c r="N230" s="281">
        <f>INPUT!BL34</f>
        <v>49150.378220967606</v>
      </c>
    </row>
    <row r="231">
      <c r="A231" s="187">
        <f>INPUT!D35</f>
        <v>101</v>
      </c>
      <c r="B231" s="189">
        <f>INPUT!H35*INPUT!I35*INPUT!J35*INPUT!AO35/1000</f>
        <v>8360</v>
      </c>
      <c r="C231" s="191">
        <f>INPUT!N35/COS(INPUT!P35)*2*INPUT!O35*INPUT!AQ35/1000</f>
        <v>24043.596138072862</v>
      </c>
      <c r="D231" s="189">
        <f>INPUT!K35*INPUT!L35*INPUT!AP35/1000</f>
        <v>8829.6704324174552</v>
      </c>
      <c r="E231" s="189">
        <f>0.85*INPUT!$B$3*INPUT!R35*INPUT!AA35/1000</f>
        <v>0</v>
      </c>
      <c r="F231" s="189">
        <f>INPUT!AD35*INPUT!AE35*INPUT!AF35*INPUT!BH35/1000</f>
        <v>1216</v>
      </c>
      <c r="G231" s="189">
        <f>INPUT!AG35*INPUT!AH35*INPUT!AI35*INPUT!BI35/1000</f>
        <v>0</v>
      </c>
      <c r="H231" s="189">
        <f>INPUT!AJ35*INPUT!$B$7/1000</f>
        <v>0</v>
      </c>
      <c r="I231" s="189">
        <f>INPUT!AK35*INPUT!$B$7/1000</f>
        <v>0</v>
      </c>
      <c r="J231" s="189">
        <f>INPUT!AL35</f>
        <v>0</v>
      </c>
      <c r="K231" s="189">
        <f>(INPUT!K35-2*INPUT!M35)*INPUT!Q35+INPUT!Q35*INPUT!Q35*TAN(INPUT!P35)</f>
        <v>0</v>
      </c>
      <c r="L231" s="280" t="str">
        <f>INPUT!BJ35</f>
        <v>8</v>
      </c>
      <c r="M231" s="191">
        <f>INPUT!BK35</f>
        <v>1245.273804662846</v>
      </c>
      <c r="N231" s="281">
        <f>INPUT!BL35</f>
        <v>49150.378220967606</v>
      </c>
    </row>
    <row r="232">
      <c r="A232" s="187">
        <f>INPUT!D36</f>
        <v>101</v>
      </c>
      <c r="B232" s="189">
        <f>INPUT!H36*INPUT!I36*INPUT!J36*INPUT!AO36/1000</f>
        <v>8360</v>
      </c>
      <c r="C232" s="191">
        <f>INPUT!N36/COS(INPUT!P36)*2*INPUT!O36*INPUT!AQ36/1000</f>
        <v>24043.596138072862</v>
      </c>
      <c r="D232" s="189">
        <f>INPUT!K36*INPUT!L36*INPUT!AP36/1000</f>
        <v>8829.6704324174552</v>
      </c>
      <c r="E232" s="189">
        <f>0.85*INPUT!$B$3*INPUT!R36*INPUT!AA36/1000</f>
        <v>0</v>
      </c>
      <c r="F232" s="189">
        <f>INPUT!AD36*INPUT!AE36*INPUT!AF36*INPUT!BH36/1000</f>
        <v>1216</v>
      </c>
      <c r="G232" s="189">
        <f>INPUT!AG36*INPUT!AH36*INPUT!AI36*INPUT!BI36/1000</f>
        <v>0</v>
      </c>
      <c r="H232" s="189">
        <f>INPUT!AJ36*INPUT!$B$7/1000</f>
        <v>0</v>
      </c>
      <c r="I232" s="189">
        <f>INPUT!AK36*INPUT!$B$7/1000</f>
        <v>0</v>
      </c>
      <c r="J232" s="189">
        <f>INPUT!AL36</f>
        <v>0</v>
      </c>
      <c r="K232" s="189">
        <f>(INPUT!K36-2*INPUT!M36)*INPUT!Q36+INPUT!Q36*INPUT!Q36*TAN(INPUT!P36)</f>
        <v>0</v>
      </c>
      <c r="L232" s="280" t="str">
        <f>INPUT!BJ36</f>
        <v>8</v>
      </c>
      <c r="M232" s="191">
        <f>INPUT!BK36</f>
        <v>1245.273804662846</v>
      </c>
      <c r="N232" s="281">
        <f>INPUT!BL36</f>
        <v>49150.378220967606</v>
      </c>
    </row>
    <row r="233">
      <c r="A233" s="187">
        <f>INPUT!D37</f>
        <v>101</v>
      </c>
      <c r="B233" s="189">
        <f>INPUT!H37*INPUT!I37*INPUT!J37*INPUT!AO37/1000</f>
        <v>8360</v>
      </c>
      <c r="C233" s="191">
        <f>INPUT!N37/COS(INPUT!P37)*2*INPUT!O37*INPUT!AQ37/1000</f>
        <v>24043.596138072862</v>
      </c>
      <c r="D233" s="189">
        <f>INPUT!K37*INPUT!L37*INPUT!AP37/1000</f>
        <v>8829.6704324174552</v>
      </c>
      <c r="E233" s="189">
        <f>0.85*INPUT!$B$3*INPUT!R37*INPUT!AA37/1000</f>
        <v>0</v>
      </c>
      <c r="F233" s="189">
        <f>INPUT!AD37*INPUT!AE37*INPUT!AF37*INPUT!BH37/1000</f>
        <v>1216</v>
      </c>
      <c r="G233" s="189">
        <f>INPUT!AG37*INPUT!AH37*INPUT!AI37*INPUT!BI37/1000</f>
        <v>0</v>
      </c>
      <c r="H233" s="189">
        <f>INPUT!AJ37*INPUT!$B$7/1000</f>
        <v>0</v>
      </c>
      <c r="I233" s="189">
        <f>INPUT!AK37*INPUT!$B$7/1000</f>
        <v>0</v>
      </c>
      <c r="J233" s="189">
        <f>INPUT!AL37</f>
        <v>0</v>
      </c>
      <c r="K233" s="189">
        <f>(INPUT!K37-2*INPUT!M37)*INPUT!Q37+INPUT!Q37*INPUT!Q37*TAN(INPUT!P37)</f>
        <v>0</v>
      </c>
      <c r="L233" s="280" t="str">
        <f>INPUT!BJ37</f>
        <v>8</v>
      </c>
      <c r="M233" s="191">
        <f>INPUT!BK37</f>
        <v>1245.273804662846</v>
      </c>
      <c r="N233" s="281">
        <f>INPUT!BL37</f>
        <v>49150.378220967606</v>
      </c>
    </row>
    <row r="234">
      <c r="A234" s="187">
        <f>INPUT!D38</f>
        <v>101</v>
      </c>
      <c r="B234" s="189">
        <f>INPUT!H38*INPUT!I38*INPUT!J38*INPUT!AO38/1000</f>
        <v>8360</v>
      </c>
      <c r="C234" s="191">
        <f>INPUT!N38/COS(INPUT!P38)*2*INPUT!O38*INPUT!AQ38/1000</f>
        <v>24043.596138072862</v>
      </c>
      <c r="D234" s="189">
        <f>INPUT!K38*INPUT!L38*INPUT!AP38/1000</f>
        <v>8829.6704324174552</v>
      </c>
      <c r="E234" s="189">
        <f>0.85*INPUT!$B$3*INPUT!R38*INPUT!AA38/1000</f>
        <v>0</v>
      </c>
      <c r="F234" s="189">
        <f>INPUT!AD38*INPUT!AE38*INPUT!AF38*INPUT!BH38/1000</f>
        <v>1216</v>
      </c>
      <c r="G234" s="189">
        <f>INPUT!AG38*INPUT!AH38*INPUT!AI38*INPUT!BI38/1000</f>
        <v>0</v>
      </c>
      <c r="H234" s="189">
        <f>INPUT!AJ38*INPUT!$B$7/1000</f>
        <v>0</v>
      </c>
      <c r="I234" s="189">
        <f>INPUT!AK38*INPUT!$B$7/1000</f>
        <v>0</v>
      </c>
      <c r="J234" s="189">
        <f>INPUT!AL38</f>
        <v>0</v>
      </c>
      <c r="K234" s="189">
        <f>(INPUT!K38-2*INPUT!M38)*INPUT!Q38+INPUT!Q38*INPUT!Q38*TAN(INPUT!P38)</f>
        <v>0</v>
      </c>
      <c r="L234" s="280" t="str">
        <f>INPUT!BJ38</f>
        <v>8</v>
      </c>
      <c r="M234" s="191">
        <f>INPUT!BK38</f>
        <v>1245.273804662846</v>
      </c>
      <c r="N234" s="281">
        <f>INPUT!BL38</f>
        <v>49150.378220967606</v>
      </c>
    </row>
    <row r="235">
      <c r="A235" s="187">
        <f>INPUT!D39</f>
        <v>101</v>
      </c>
      <c r="B235" s="189">
        <f>INPUT!H39*INPUT!I39*INPUT!J39*INPUT!AO39/1000</f>
        <v>8360</v>
      </c>
      <c r="C235" s="191">
        <f>INPUT!N39/COS(INPUT!P39)*2*INPUT!O39*INPUT!AQ39/1000</f>
        <v>24043.596138072862</v>
      </c>
      <c r="D235" s="189">
        <f>INPUT!K39*INPUT!L39*INPUT!AP39/1000</f>
        <v>8829.6704324174552</v>
      </c>
      <c r="E235" s="189">
        <f>0.85*INPUT!$B$3*INPUT!R39*INPUT!AA39/1000</f>
        <v>0</v>
      </c>
      <c r="F235" s="189">
        <f>INPUT!AD39*INPUT!AE39*INPUT!AF39*INPUT!BH39/1000</f>
        <v>1216</v>
      </c>
      <c r="G235" s="189">
        <f>INPUT!AG39*INPUT!AH39*INPUT!AI39*INPUT!BI39/1000</f>
        <v>0</v>
      </c>
      <c r="H235" s="189">
        <f>INPUT!AJ39*INPUT!$B$7/1000</f>
        <v>0</v>
      </c>
      <c r="I235" s="189">
        <f>INPUT!AK39*INPUT!$B$7/1000</f>
        <v>0</v>
      </c>
      <c r="J235" s="189">
        <f>INPUT!AL39</f>
        <v>0</v>
      </c>
      <c r="K235" s="189">
        <f>(INPUT!K39-2*INPUT!M39)*INPUT!Q39+INPUT!Q39*INPUT!Q39*TAN(INPUT!P39)</f>
        <v>0</v>
      </c>
      <c r="L235" s="280" t="str">
        <f>INPUT!BJ39</f>
        <v>8</v>
      </c>
      <c r="M235" s="191">
        <f>INPUT!BK39</f>
        <v>1245.273804662846</v>
      </c>
      <c r="N235" s="281">
        <f>INPUT!BL39</f>
        <v>49150.378220967606</v>
      </c>
    </row>
    <row r="236">
      <c r="A236" s="187">
        <f>INPUT!D40</f>
        <v>101</v>
      </c>
      <c r="B236" s="189">
        <f>INPUT!H40*INPUT!I40*INPUT!J40*INPUT!AO40/1000</f>
        <v>8360</v>
      </c>
      <c r="C236" s="191">
        <f>INPUT!N40/COS(INPUT!P40)*2*INPUT!O40*INPUT!AQ40/1000</f>
        <v>24043.596138072862</v>
      </c>
      <c r="D236" s="189">
        <f>INPUT!K40*INPUT!L40*INPUT!AP40/1000</f>
        <v>8829.6704324174552</v>
      </c>
      <c r="E236" s="189">
        <f>0.85*INPUT!$B$3*INPUT!R40*INPUT!AA40/1000</f>
        <v>0</v>
      </c>
      <c r="F236" s="189">
        <f>INPUT!AD40*INPUT!AE40*INPUT!AF40*INPUT!BH40/1000</f>
        <v>1216</v>
      </c>
      <c r="G236" s="189">
        <f>INPUT!AG40*INPUT!AH40*INPUT!AI40*INPUT!BI40/1000</f>
        <v>0</v>
      </c>
      <c r="H236" s="189">
        <f>INPUT!AJ40*INPUT!$B$7/1000</f>
        <v>0</v>
      </c>
      <c r="I236" s="189">
        <f>INPUT!AK40*INPUT!$B$7/1000</f>
        <v>0</v>
      </c>
      <c r="J236" s="189">
        <f>INPUT!AL40</f>
        <v>0</v>
      </c>
      <c r="K236" s="189">
        <f>(INPUT!K40-2*INPUT!M40)*INPUT!Q40+INPUT!Q40*INPUT!Q40*TAN(INPUT!P40)</f>
        <v>0</v>
      </c>
      <c r="L236" s="280" t="str">
        <f>INPUT!BJ40</f>
        <v>8</v>
      </c>
      <c r="M236" s="191">
        <f>INPUT!BK40</f>
        <v>1245.273804662846</v>
      </c>
      <c r="N236" s="281">
        <f>INPUT!BL40</f>
        <v>49150.378220967606</v>
      </c>
    </row>
    <row r="237">
      <c r="A237" s="187">
        <f>INPUT!D41</f>
        <v>101</v>
      </c>
      <c r="B237" s="189">
        <f>INPUT!H41*INPUT!I41*INPUT!J41*INPUT!AO41/1000</f>
        <v>8360</v>
      </c>
      <c r="C237" s="191">
        <f>INPUT!N41/COS(INPUT!P41)*2*INPUT!O41*INPUT!AQ41/1000</f>
        <v>24043.596138072862</v>
      </c>
      <c r="D237" s="189">
        <f>INPUT!K41*INPUT!L41*INPUT!AP41/1000</f>
        <v>8829.6704324174552</v>
      </c>
      <c r="E237" s="189">
        <f>0.85*INPUT!$B$3*INPUT!R41*INPUT!AA41/1000</f>
        <v>0</v>
      </c>
      <c r="F237" s="189">
        <f>INPUT!AD41*INPUT!AE41*INPUT!AF41*INPUT!BH41/1000</f>
        <v>1216</v>
      </c>
      <c r="G237" s="189">
        <f>INPUT!AG41*INPUT!AH41*INPUT!AI41*INPUT!BI41/1000</f>
        <v>0</v>
      </c>
      <c r="H237" s="189">
        <f>INPUT!AJ41*INPUT!$B$7/1000</f>
        <v>0</v>
      </c>
      <c r="I237" s="189">
        <f>INPUT!AK41*INPUT!$B$7/1000</f>
        <v>0</v>
      </c>
      <c r="J237" s="189">
        <f>INPUT!AL41</f>
        <v>0</v>
      </c>
      <c r="K237" s="189">
        <f>(INPUT!K41-2*INPUT!M41)*INPUT!Q41+INPUT!Q41*INPUT!Q41*TAN(INPUT!P41)</f>
        <v>0</v>
      </c>
      <c r="L237" s="280" t="str">
        <f>INPUT!BJ41</f>
        <v>8</v>
      </c>
      <c r="M237" s="191">
        <f>INPUT!BK41</f>
        <v>1245.273804662846</v>
      </c>
      <c r="N237" s="281">
        <f>INPUT!BL41</f>
        <v>49150.378220967606</v>
      </c>
    </row>
    <row r="238">
      <c r="A238" s="187">
        <f>INPUT!D42</f>
        <v>101</v>
      </c>
      <c r="B238" s="189">
        <f>INPUT!H42*INPUT!I42*INPUT!J42*INPUT!AO42/1000</f>
        <v>8360</v>
      </c>
      <c r="C238" s="191">
        <f>INPUT!N42/COS(INPUT!P42)*2*INPUT!O42*INPUT!AQ42/1000</f>
        <v>24043.596138072862</v>
      </c>
      <c r="D238" s="189">
        <f>INPUT!K42*INPUT!L42*INPUT!AP42/1000</f>
        <v>8829.6704324174552</v>
      </c>
      <c r="E238" s="189">
        <f>0.85*INPUT!$B$3*INPUT!R42*INPUT!AA42/1000</f>
        <v>0</v>
      </c>
      <c r="F238" s="189">
        <f>INPUT!AD42*INPUT!AE42*INPUT!AF42*INPUT!BH42/1000</f>
        <v>1216</v>
      </c>
      <c r="G238" s="189">
        <f>INPUT!AG42*INPUT!AH42*INPUT!AI42*INPUT!BI42/1000</f>
        <v>0</v>
      </c>
      <c r="H238" s="189">
        <f>INPUT!AJ42*INPUT!$B$7/1000</f>
        <v>0</v>
      </c>
      <c r="I238" s="189">
        <f>INPUT!AK42*INPUT!$B$7/1000</f>
        <v>0</v>
      </c>
      <c r="J238" s="189">
        <f>INPUT!AL42</f>
        <v>0</v>
      </c>
      <c r="K238" s="189">
        <f>(INPUT!K42-2*INPUT!M42)*INPUT!Q42+INPUT!Q42*INPUT!Q42*TAN(INPUT!P42)</f>
        <v>0</v>
      </c>
      <c r="L238" s="280" t="str">
        <f>INPUT!BJ42</f>
        <v>8</v>
      </c>
      <c r="M238" s="191">
        <f>INPUT!BK42</f>
        <v>1245.273804662846</v>
      </c>
      <c r="N238" s="281">
        <f>INPUT!BL42</f>
        <v>49150.378220967606</v>
      </c>
    </row>
    <row r="239">
      <c r="A239" s="187">
        <f>INPUT!D43</f>
        <v>101</v>
      </c>
      <c r="B239" s="189">
        <f>INPUT!H43*INPUT!I43*INPUT!J43*INPUT!AO43/1000</f>
        <v>8360</v>
      </c>
      <c r="C239" s="191">
        <f>INPUT!N43/COS(INPUT!P43)*2*INPUT!O43*INPUT!AQ43/1000</f>
        <v>24043.596138072862</v>
      </c>
      <c r="D239" s="189">
        <f>INPUT!K43*INPUT!L43*INPUT!AP43/1000</f>
        <v>8829.6704324174552</v>
      </c>
      <c r="E239" s="189">
        <f>0.85*INPUT!$B$3*INPUT!R43*INPUT!AA43/1000</f>
        <v>0</v>
      </c>
      <c r="F239" s="189">
        <f>INPUT!AD43*INPUT!AE43*INPUT!AF43*INPUT!BH43/1000</f>
        <v>1216</v>
      </c>
      <c r="G239" s="189">
        <f>INPUT!AG43*INPUT!AH43*INPUT!AI43*INPUT!BI43/1000</f>
        <v>0</v>
      </c>
      <c r="H239" s="189">
        <f>INPUT!AJ43*INPUT!$B$7/1000</f>
        <v>0</v>
      </c>
      <c r="I239" s="189">
        <f>INPUT!AK43*INPUT!$B$7/1000</f>
        <v>0</v>
      </c>
      <c r="J239" s="189">
        <f>INPUT!AL43</f>
        <v>0</v>
      </c>
      <c r="K239" s="189">
        <f>(INPUT!K43-2*INPUT!M43)*INPUT!Q43+INPUT!Q43*INPUT!Q43*TAN(INPUT!P43)</f>
        <v>0</v>
      </c>
      <c r="L239" s="280" t="str">
        <f>INPUT!BJ43</f>
        <v>8</v>
      </c>
      <c r="M239" s="191">
        <f>INPUT!BK43</f>
        <v>1245.273804662846</v>
      </c>
      <c r="N239" s="281">
        <f>INPUT!BL43</f>
        <v>49150.378220967606</v>
      </c>
    </row>
    <row r="240">
      <c r="A240" s="187">
        <f>INPUT!D44</f>
        <v>101</v>
      </c>
      <c r="B240" s="189">
        <f>INPUT!H44*INPUT!I44*INPUT!J44*INPUT!AO44/1000</f>
        <v>8360</v>
      </c>
      <c r="C240" s="191">
        <f>INPUT!N44/COS(INPUT!P44)*2*INPUT!O44*INPUT!AQ44/1000</f>
        <v>24043.596138072862</v>
      </c>
      <c r="D240" s="189">
        <f>INPUT!K44*INPUT!L44*INPUT!AP44/1000</f>
        <v>8829.6704324174552</v>
      </c>
      <c r="E240" s="189">
        <f>0.85*INPUT!$B$3*INPUT!R44*INPUT!AA44/1000</f>
        <v>0</v>
      </c>
      <c r="F240" s="189">
        <f>INPUT!AD44*INPUT!AE44*INPUT!AF44*INPUT!BH44/1000</f>
        <v>1216</v>
      </c>
      <c r="G240" s="189">
        <f>INPUT!AG44*INPUT!AH44*INPUT!AI44*INPUT!BI44/1000</f>
        <v>0</v>
      </c>
      <c r="H240" s="189">
        <f>INPUT!AJ44*INPUT!$B$7/1000</f>
        <v>0</v>
      </c>
      <c r="I240" s="189">
        <f>INPUT!AK44*INPUT!$B$7/1000</f>
        <v>0</v>
      </c>
      <c r="J240" s="189">
        <f>INPUT!AL44</f>
        <v>0</v>
      </c>
      <c r="K240" s="189">
        <f>(INPUT!K44-2*INPUT!M44)*INPUT!Q44+INPUT!Q44*INPUT!Q44*TAN(INPUT!P44)</f>
        <v>0</v>
      </c>
      <c r="L240" s="280" t="str">
        <f>INPUT!BJ44</f>
        <v>8</v>
      </c>
      <c r="M240" s="191">
        <f>INPUT!BK44</f>
        <v>1245.273804662846</v>
      </c>
      <c r="N240" s="281">
        <f>INPUT!BL44</f>
        <v>49150.378220967606</v>
      </c>
    </row>
    <row r="241">
      <c r="A241" s="187">
        <f>INPUT!D45</f>
        <v>101</v>
      </c>
      <c r="B241" s="189">
        <f>INPUT!H45*INPUT!I45*INPUT!J45*INPUT!AO45/1000</f>
        <v>8360</v>
      </c>
      <c r="C241" s="191">
        <f>INPUT!N45/COS(INPUT!P45)*2*INPUT!O45*INPUT!AQ45/1000</f>
        <v>24043.596138072862</v>
      </c>
      <c r="D241" s="189">
        <f>INPUT!K45*INPUT!L45*INPUT!AP45/1000</f>
        <v>8829.6704324174552</v>
      </c>
      <c r="E241" s="189">
        <f>0.85*INPUT!$B$3*INPUT!R45*INPUT!AA45/1000</f>
        <v>0</v>
      </c>
      <c r="F241" s="189">
        <f>INPUT!AD45*INPUT!AE45*INPUT!AF45*INPUT!BH45/1000</f>
        <v>1216</v>
      </c>
      <c r="G241" s="189">
        <f>INPUT!AG45*INPUT!AH45*INPUT!AI45*INPUT!BI45/1000</f>
        <v>0</v>
      </c>
      <c r="H241" s="189">
        <f>INPUT!AJ45*INPUT!$B$7/1000</f>
        <v>0</v>
      </c>
      <c r="I241" s="189">
        <f>INPUT!AK45*INPUT!$B$7/1000</f>
        <v>0</v>
      </c>
      <c r="J241" s="189">
        <f>INPUT!AL45</f>
        <v>0</v>
      </c>
      <c r="K241" s="189">
        <f>(INPUT!K45-2*INPUT!M45)*INPUT!Q45+INPUT!Q45*INPUT!Q45*TAN(INPUT!P45)</f>
        <v>0</v>
      </c>
      <c r="L241" s="280" t="str">
        <f>INPUT!BJ45</f>
        <v>8</v>
      </c>
      <c r="M241" s="191">
        <f>INPUT!BK45</f>
        <v>1245.273804662846</v>
      </c>
      <c r="N241" s="281">
        <f>INPUT!BL45</f>
        <v>49150.378220967606</v>
      </c>
    </row>
    <row r="242">
      <c r="A242" s="187">
        <f>INPUT!D46</f>
        <v>101</v>
      </c>
      <c r="B242" s="189">
        <f>INPUT!H46*INPUT!I46*INPUT!J46*INPUT!AO46/1000</f>
        <v>8360</v>
      </c>
      <c r="C242" s="191">
        <f>INPUT!N46/COS(INPUT!P46)*2*INPUT!O46*INPUT!AQ46/1000</f>
        <v>24043.596138072862</v>
      </c>
      <c r="D242" s="189">
        <f>INPUT!K46*INPUT!L46*INPUT!AP46/1000</f>
        <v>8829.6704324174552</v>
      </c>
      <c r="E242" s="189">
        <f>0.85*INPUT!$B$3*INPUT!R46*INPUT!AA46/1000</f>
        <v>0</v>
      </c>
      <c r="F242" s="189">
        <f>INPUT!AD46*INPUT!AE46*INPUT!AF46*INPUT!BH46/1000</f>
        <v>1216</v>
      </c>
      <c r="G242" s="189">
        <f>INPUT!AG46*INPUT!AH46*INPUT!AI46*INPUT!BI46/1000</f>
        <v>0</v>
      </c>
      <c r="H242" s="189">
        <f>INPUT!AJ46*INPUT!$B$7/1000</f>
        <v>0</v>
      </c>
      <c r="I242" s="189">
        <f>INPUT!AK46*INPUT!$B$7/1000</f>
        <v>0</v>
      </c>
      <c r="J242" s="189">
        <f>INPUT!AL46</f>
        <v>0</v>
      </c>
      <c r="K242" s="189">
        <f>(INPUT!K46-2*INPUT!M46)*INPUT!Q46+INPUT!Q46*INPUT!Q46*TAN(INPUT!P46)</f>
        <v>0</v>
      </c>
      <c r="L242" s="280" t="str">
        <f>INPUT!BJ46</f>
        <v>8</v>
      </c>
      <c r="M242" s="191">
        <f>INPUT!BK46</f>
        <v>1245.273804662846</v>
      </c>
      <c r="N242" s="281">
        <f>INPUT!BL46</f>
        <v>49150.378220967606</v>
      </c>
    </row>
    <row r="243">
      <c r="A243" s="187">
        <f>INPUT!D47</f>
        <v>101</v>
      </c>
      <c r="B243" s="189">
        <f>INPUT!H47*INPUT!I47*INPUT!J47*INPUT!AO47/1000</f>
        <v>8360</v>
      </c>
      <c r="C243" s="191">
        <f>INPUT!N47/COS(INPUT!P47)*2*INPUT!O47*INPUT!AQ47/1000</f>
        <v>24043.596138072862</v>
      </c>
      <c r="D243" s="189">
        <f>INPUT!K47*INPUT!L47*INPUT!AP47/1000</f>
        <v>8829.6704324174552</v>
      </c>
      <c r="E243" s="189">
        <f>0.85*INPUT!$B$3*INPUT!R47*INPUT!AA47/1000</f>
        <v>0</v>
      </c>
      <c r="F243" s="189">
        <f>INPUT!AD47*INPUT!AE47*INPUT!AF47*INPUT!BH47/1000</f>
        <v>1216</v>
      </c>
      <c r="G243" s="189">
        <f>INPUT!AG47*INPUT!AH47*INPUT!AI47*INPUT!BI47/1000</f>
        <v>0</v>
      </c>
      <c r="H243" s="189">
        <f>INPUT!AJ47*INPUT!$B$7/1000</f>
        <v>0</v>
      </c>
      <c r="I243" s="189">
        <f>INPUT!AK47*INPUT!$B$7/1000</f>
        <v>0</v>
      </c>
      <c r="J243" s="189">
        <f>INPUT!AL47</f>
        <v>0</v>
      </c>
      <c r="K243" s="189">
        <f>(INPUT!K47-2*INPUT!M47)*INPUT!Q47+INPUT!Q47*INPUT!Q47*TAN(INPUT!P47)</f>
        <v>0</v>
      </c>
      <c r="L243" s="280" t="str">
        <f>INPUT!BJ47</f>
        <v>8</v>
      </c>
      <c r="M243" s="191">
        <f>INPUT!BK47</f>
        <v>1245.273804662846</v>
      </c>
      <c r="N243" s="281">
        <f>INPUT!BL47</f>
        <v>49150.378220967606</v>
      </c>
    </row>
    <row r="244">
      <c r="A244" s="187">
        <f>INPUT!D48</f>
        <v>101</v>
      </c>
      <c r="B244" s="189">
        <f>INPUT!H48*INPUT!I48*INPUT!J48*INPUT!AO48/1000</f>
        <v>8360</v>
      </c>
      <c r="C244" s="191">
        <f>INPUT!N48/COS(INPUT!P48)*2*INPUT!O48*INPUT!AQ48/1000</f>
        <v>24043.596138072862</v>
      </c>
      <c r="D244" s="189">
        <f>INPUT!K48*INPUT!L48*INPUT!AP48/1000</f>
        <v>8829.6704324174552</v>
      </c>
      <c r="E244" s="189">
        <f>0.85*INPUT!$B$3*INPUT!R48*INPUT!AA48/1000</f>
        <v>0</v>
      </c>
      <c r="F244" s="189">
        <f>INPUT!AD48*INPUT!AE48*INPUT!AF48*INPUT!BH48/1000</f>
        <v>1216</v>
      </c>
      <c r="G244" s="189">
        <f>INPUT!AG48*INPUT!AH48*INPUT!AI48*INPUT!BI48/1000</f>
        <v>0</v>
      </c>
      <c r="H244" s="189">
        <f>INPUT!AJ48*INPUT!$B$7/1000</f>
        <v>0</v>
      </c>
      <c r="I244" s="189">
        <f>INPUT!AK48*INPUT!$B$7/1000</f>
        <v>0</v>
      </c>
      <c r="J244" s="189">
        <f>INPUT!AL48</f>
        <v>0</v>
      </c>
      <c r="K244" s="189">
        <f>(INPUT!K48-2*INPUT!M48)*INPUT!Q48+INPUT!Q48*INPUT!Q48*TAN(INPUT!P48)</f>
        <v>0</v>
      </c>
      <c r="L244" s="280" t="str">
        <f>INPUT!BJ48</f>
        <v>8</v>
      </c>
      <c r="M244" s="191">
        <f>INPUT!BK48</f>
        <v>1245.273804662846</v>
      </c>
      <c r="N244" s="281">
        <f>INPUT!BL48</f>
        <v>49150.378220967606</v>
      </c>
    </row>
    <row r="245">
      <c r="A245" s="187">
        <f>INPUT!D49</f>
        <v>101</v>
      </c>
      <c r="B245" s="189">
        <f>INPUT!H49*INPUT!I49*INPUT!J49*INPUT!AO49/1000</f>
        <v>8360</v>
      </c>
      <c r="C245" s="191">
        <f>INPUT!N49/COS(INPUT!P49)*2*INPUT!O49*INPUT!AQ49/1000</f>
        <v>24043.596138072862</v>
      </c>
      <c r="D245" s="189">
        <f>INPUT!K49*INPUT!L49*INPUT!AP49/1000</f>
        <v>8829.6704324174552</v>
      </c>
      <c r="E245" s="189">
        <f>0.85*INPUT!$B$3*INPUT!R49*INPUT!AA49/1000</f>
        <v>0</v>
      </c>
      <c r="F245" s="189">
        <f>INPUT!AD49*INPUT!AE49*INPUT!AF49*INPUT!BH49/1000</f>
        <v>1216</v>
      </c>
      <c r="G245" s="189">
        <f>INPUT!AG49*INPUT!AH49*INPUT!AI49*INPUT!BI49/1000</f>
        <v>0</v>
      </c>
      <c r="H245" s="189">
        <f>INPUT!AJ49*INPUT!$B$7/1000</f>
        <v>0</v>
      </c>
      <c r="I245" s="189">
        <f>INPUT!AK49*INPUT!$B$7/1000</f>
        <v>0</v>
      </c>
      <c r="J245" s="189">
        <f>INPUT!AL49</f>
        <v>0</v>
      </c>
      <c r="K245" s="189">
        <f>(INPUT!K49-2*INPUT!M49)*INPUT!Q49+INPUT!Q49*INPUT!Q49*TAN(INPUT!P49)</f>
        <v>0</v>
      </c>
      <c r="L245" s="280" t="str">
        <f>INPUT!BJ49</f>
        <v>8</v>
      </c>
      <c r="M245" s="191">
        <f>INPUT!BK49</f>
        <v>1245.273804662846</v>
      </c>
      <c r="N245" s="281">
        <f>INPUT!BL49</f>
        <v>49150.378220967606</v>
      </c>
    </row>
    <row r="246">
      <c r="A246" s="187">
        <f>INPUT!D50</f>
        <v>101</v>
      </c>
      <c r="B246" s="189">
        <f>INPUT!H50*INPUT!I50*INPUT!J50*INPUT!AO50/1000</f>
        <v>8360</v>
      </c>
      <c r="C246" s="191">
        <f>INPUT!N50/COS(INPUT!P50)*2*INPUT!O50*INPUT!AQ50/1000</f>
        <v>24043.596138072862</v>
      </c>
      <c r="D246" s="189">
        <f>INPUT!K50*INPUT!L50*INPUT!AP50/1000</f>
        <v>8829.6704324174552</v>
      </c>
      <c r="E246" s="189">
        <f>0.85*INPUT!$B$3*INPUT!R50*INPUT!AA50/1000</f>
        <v>0</v>
      </c>
      <c r="F246" s="189">
        <f>INPUT!AD50*INPUT!AE50*INPUT!AF50*INPUT!BH50/1000</f>
        <v>1216</v>
      </c>
      <c r="G246" s="189">
        <f>INPUT!AG50*INPUT!AH50*INPUT!AI50*INPUT!BI50/1000</f>
        <v>0</v>
      </c>
      <c r="H246" s="189">
        <f>INPUT!AJ50*INPUT!$B$7/1000</f>
        <v>0</v>
      </c>
      <c r="I246" s="189">
        <f>INPUT!AK50*INPUT!$B$7/1000</f>
        <v>0</v>
      </c>
      <c r="J246" s="189">
        <f>INPUT!AL50</f>
        <v>0</v>
      </c>
      <c r="K246" s="189">
        <f>(INPUT!K50-2*INPUT!M50)*INPUT!Q50+INPUT!Q50*INPUT!Q50*TAN(INPUT!P50)</f>
        <v>0</v>
      </c>
      <c r="L246" s="280" t="str">
        <f>INPUT!BJ50</f>
        <v>8</v>
      </c>
      <c r="M246" s="191">
        <f>INPUT!BK50</f>
        <v>1245.273804662846</v>
      </c>
      <c r="N246" s="281">
        <f>INPUT!BL50</f>
        <v>49150.378220967606</v>
      </c>
    </row>
    <row r="247">
      <c r="A247" s="187">
        <f>INPUT!D51</f>
        <v>101</v>
      </c>
      <c r="B247" s="189">
        <f>INPUT!H51*INPUT!I51*INPUT!J51*INPUT!AO51/1000</f>
        <v>8360</v>
      </c>
      <c r="C247" s="191">
        <f>INPUT!N51/COS(INPUT!P51)*2*INPUT!O51*INPUT!AQ51/1000</f>
        <v>24043.596138072862</v>
      </c>
      <c r="D247" s="189">
        <f>INPUT!K51*INPUT!L51*INPUT!AP51/1000</f>
        <v>8829.6704324174552</v>
      </c>
      <c r="E247" s="189">
        <f>0.85*INPUT!$B$3*INPUT!R51*INPUT!AA51/1000</f>
        <v>0</v>
      </c>
      <c r="F247" s="189">
        <f>INPUT!AD51*INPUT!AE51*INPUT!AF51*INPUT!BH51/1000</f>
        <v>1216</v>
      </c>
      <c r="G247" s="189">
        <f>INPUT!AG51*INPUT!AH51*INPUT!AI51*INPUT!BI51/1000</f>
        <v>0</v>
      </c>
      <c r="H247" s="189">
        <f>INPUT!AJ51*INPUT!$B$7/1000</f>
        <v>0</v>
      </c>
      <c r="I247" s="189">
        <f>INPUT!AK51*INPUT!$B$7/1000</f>
        <v>0</v>
      </c>
      <c r="J247" s="189">
        <f>INPUT!AL51</f>
        <v>0</v>
      </c>
      <c r="K247" s="189">
        <f>(INPUT!K51-2*INPUT!M51)*INPUT!Q51+INPUT!Q51*INPUT!Q51*TAN(INPUT!P51)</f>
        <v>0</v>
      </c>
      <c r="L247" s="280" t="str">
        <f>INPUT!BJ51</f>
        <v>8</v>
      </c>
      <c r="M247" s="191">
        <f>INPUT!BK51</f>
        <v>1245.273804662846</v>
      </c>
      <c r="N247" s="281">
        <f>INPUT!BL51</f>
        <v>49150.378220967606</v>
      </c>
    </row>
    <row r="248">
      <c r="A248" s="187">
        <f>INPUT!D52</f>
        <v>101</v>
      </c>
      <c r="B248" s="189">
        <f>INPUT!H52*INPUT!I52*INPUT!J52*INPUT!AO52/1000</f>
        <v>8360</v>
      </c>
      <c r="C248" s="191">
        <f>INPUT!N52/COS(INPUT!P52)*2*INPUT!O52*INPUT!AQ52/1000</f>
        <v>24043.596138072862</v>
      </c>
      <c r="D248" s="189">
        <f>INPUT!K52*INPUT!L52*INPUT!AP52/1000</f>
        <v>8829.6704324174552</v>
      </c>
      <c r="E248" s="189">
        <f>0.85*INPUT!$B$3*INPUT!R52*INPUT!AA52/1000</f>
        <v>0</v>
      </c>
      <c r="F248" s="189">
        <f>INPUT!AD52*INPUT!AE52*INPUT!AF52*INPUT!BH52/1000</f>
        <v>1216</v>
      </c>
      <c r="G248" s="189">
        <f>INPUT!AG52*INPUT!AH52*INPUT!AI52*INPUT!BI52/1000</f>
        <v>0</v>
      </c>
      <c r="H248" s="189">
        <f>INPUT!AJ52*INPUT!$B$7/1000</f>
        <v>0</v>
      </c>
      <c r="I248" s="189">
        <f>INPUT!AK52*INPUT!$B$7/1000</f>
        <v>0</v>
      </c>
      <c r="J248" s="189">
        <f>INPUT!AL52</f>
        <v>0</v>
      </c>
      <c r="K248" s="189">
        <f>(INPUT!K52-2*INPUT!M52)*INPUT!Q52+INPUT!Q52*INPUT!Q52*TAN(INPUT!P52)</f>
        <v>0</v>
      </c>
      <c r="L248" s="280" t="str">
        <f>INPUT!BJ52</f>
        <v>8</v>
      </c>
      <c r="M248" s="191">
        <f>INPUT!BK52</f>
        <v>1245.273804662846</v>
      </c>
      <c r="N248" s="281">
        <f>INPUT!BL52</f>
        <v>49150.378220967606</v>
      </c>
    </row>
    <row r="249">
      <c r="A249" s="187">
        <f>INPUT!D53</f>
        <v>101</v>
      </c>
      <c r="B249" s="189">
        <f>INPUT!H53*INPUT!I53*INPUT!J53*INPUT!AO53/1000</f>
        <v>8360</v>
      </c>
      <c r="C249" s="191">
        <f>INPUT!N53/COS(INPUT!P53)*2*INPUT!O53*INPUT!AQ53/1000</f>
        <v>24043.596138072862</v>
      </c>
      <c r="D249" s="189">
        <f>INPUT!K53*INPUT!L53*INPUT!AP53/1000</f>
        <v>8829.6704324174552</v>
      </c>
      <c r="E249" s="189">
        <f>0.85*INPUT!$B$3*INPUT!R53*INPUT!AA53/1000</f>
        <v>0</v>
      </c>
      <c r="F249" s="189">
        <f>INPUT!AD53*INPUT!AE53*INPUT!AF53*INPUT!BH53/1000</f>
        <v>1216</v>
      </c>
      <c r="G249" s="189">
        <f>INPUT!AG53*INPUT!AH53*INPUT!AI53*INPUT!BI53/1000</f>
        <v>0</v>
      </c>
      <c r="H249" s="189">
        <f>INPUT!AJ53*INPUT!$B$7/1000</f>
        <v>0</v>
      </c>
      <c r="I249" s="189">
        <f>INPUT!AK53*INPUT!$B$7/1000</f>
        <v>0</v>
      </c>
      <c r="J249" s="189">
        <f>INPUT!AL53</f>
        <v>0</v>
      </c>
      <c r="K249" s="189">
        <f>(INPUT!K53-2*INPUT!M53)*INPUT!Q53+INPUT!Q53*INPUT!Q53*TAN(INPUT!P53)</f>
        <v>0</v>
      </c>
      <c r="L249" s="280" t="str">
        <f>INPUT!BJ53</f>
        <v>8</v>
      </c>
      <c r="M249" s="191">
        <f>INPUT!BK53</f>
        <v>1245.273804662846</v>
      </c>
      <c r="N249" s="281">
        <f>INPUT!BL53</f>
        <v>49150.378220967606</v>
      </c>
    </row>
    <row r="250">
      <c r="A250" s="187">
        <f>INPUT!D54</f>
        <v>101</v>
      </c>
      <c r="B250" s="189">
        <f>INPUT!H54*INPUT!I54*INPUT!J54*INPUT!AO54/1000</f>
        <v>8360</v>
      </c>
      <c r="C250" s="191">
        <f>INPUT!N54/COS(INPUT!P54)*2*INPUT!O54*INPUT!AQ54/1000</f>
        <v>24043.596138072862</v>
      </c>
      <c r="D250" s="189">
        <f>INPUT!K54*INPUT!L54*INPUT!AP54/1000</f>
        <v>8829.6704324174552</v>
      </c>
      <c r="E250" s="189">
        <f>0.85*INPUT!$B$3*INPUT!R54*INPUT!AA54/1000</f>
        <v>0</v>
      </c>
      <c r="F250" s="189">
        <f>INPUT!AD54*INPUT!AE54*INPUT!AF54*INPUT!BH54/1000</f>
        <v>1216</v>
      </c>
      <c r="G250" s="189">
        <f>INPUT!AG54*INPUT!AH54*INPUT!AI54*INPUT!BI54/1000</f>
        <v>0</v>
      </c>
      <c r="H250" s="189">
        <f>INPUT!AJ54*INPUT!$B$7/1000</f>
        <v>0</v>
      </c>
      <c r="I250" s="189">
        <f>INPUT!AK54*INPUT!$B$7/1000</f>
        <v>0</v>
      </c>
      <c r="J250" s="189">
        <f>INPUT!AL54</f>
        <v>0</v>
      </c>
      <c r="K250" s="189">
        <f>(INPUT!K54-2*INPUT!M54)*INPUT!Q54+INPUT!Q54*INPUT!Q54*TAN(INPUT!P54)</f>
        <v>0</v>
      </c>
      <c r="L250" s="280" t="str">
        <f>INPUT!BJ54</f>
        <v>8</v>
      </c>
      <c r="M250" s="191">
        <f>INPUT!BK54</f>
        <v>1245.273804662846</v>
      </c>
      <c r="N250" s="281">
        <f>INPUT!BL54</f>
        <v>49150.378220967606</v>
      </c>
    </row>
    <row r="251">
      <c r="A251" s="187">
        <f>INPUT!D55</f>
        <v>101</v>
      </c>
      <c r="B251" s="189">
        <f>INPUT!H55*INPUT!I55*INPUT!J55*INPUT!AO55/1000</f>
        <v>8360</v>
      </c>
      <c r="C251" s="191">
        <f>INPUT!N55/COS(INPUT!P55)*2*INPUT!O55*INPUT!AQ55/1000</f>
        <v>24043.596138072862</v>
      </c>
      <c r="D251" s="189">
        <f>INPUT!K55*INPUT!L55*INPUT!AP55/1000</f>
        <v>8829.6704324174552</v>
      </c>
      <c r="E251" s="189">
        <f>0.85*INPUT!$B$3*INPUT!R55*INPUT!AA55/1000</f>
        <v>0</v>
      </c>
      <c r="F251" s="189">
        <f>INPUT!AD55*INPUT!AE55*INPUT!AF55*INPUT!BH55/1000</f>
        <v>1216</v>
      </c>
      <c r="G251" s="189">
        <f>INPUT!AG55*INPUT!AH55*INPUT!AI55*INPUT!BI55/1000</f>
        <v>0</v>
      </c>
      <c r="H251" s="189">
        <f>INPUT!AJ55*INPUT!$B$7/1000</f>
        <v>0</v>
      </c>
      <c r="I251" s="189">
        <f>INPUT!AK55*INPUT!$B$7/1000</f>
        <v>0</v>
      </c>
      <c r="J251" s="189">
        <f>INPUT!AL55</f>
        <v>0</v>
      </c>
      <c r="K251" s="189">
        <f>(INPUT!K55-2*INPUT!M55)*INPUT!Q55+INPUT!Q55*INPUT!Q55*TAN(INPUT!P55)</f>
        <v>0</v>
      </c>
      <c r="L251" s="280" t="str">
        <f>INPUT!BJ55</f>
        <v>8</v>
      </c>
      <c r="M251" s="191">
        <f>INPUT!BK55</f>
        <v>1245.273804662846</v>
      </c>
      <c r="N251" s="281">
        <f>INPUT!BL55</f>
        <v>49150.378220967606</v>
      </c>
    </row>
    <row r="252">
      <c r="A252" s="187">
        <f>INPUT!D56</f>
        <v>101</v>
      </c>
      <c r="B252" s="189">
        <f>INPUT!H56*INPUT!I56*INPUT!J56*INPUT!AO56/1000</f>
        <v>8360</v>
      </c>
      <c r="C252" s="191">
        <f>INPUT!N56/COS(INPUT!P56)*2*INPUT!O56*INPUT!AQ56/1000</f>
        <v>24043.596138072862</v>
      </c>
      <c r="D252" s="189">
        <f>INPUT!K56*INPUT!L56*INPUT!AP56/1000</f>
        <v>8829.6704324174552</v>
      </c>
      <c r="E252" s="189">
        <f>0.85*INPUT!$B$3*INPUT!R56*INPUT!AA56/1000</f>
        <v>0</v>
      </c>
      <c r="F252" s="189">
        <f>INPUT!AD56*INPUT!AE56*INPUT!AF56*INPUT!BH56/1000</f>
        <v>1216</v>
      </c>
      <c r="G252" s="189">
        <f>INPUT!AG56*INPUT!AH56*INPUT!AI56*INPUT!BI56/1000</f>
        <v>0</v>
      </c>
      <c r="H252" s="189">
        <f>INPUT!AJ56*INPUT!$B$7/1000</f>
        <v>0</v>
      </c>
      <c r="I252" s="189">
        <f>INPUT!AK56*INPUT!$B$7/1000</f>
        <v>0</v>
      </c>
      <c r="J252" s="189">
        <f>INPUT!AL56</f>
        <v>0</v>
      </c>
      <c r="K252" s="189">
        <f>(INPUT!K56-2*INPUT!M56)*INPUT!Q56+INPUT!Q56*INPUT!Q56*TAN(INPUT!P56)</f>
        <v>0</v>
      </c>
      <c r="L252" s="280" t="str">
        <f>INPUT!BJ56</f>
        <v>8</v>
      </c>
      <c r="M252" s="191">
        <f>INPUT!BK56</f>
        <v>1245.273804662846</v>
      </c>
      <c r="N252" s="281">
        <f>INPUT!BL56</f>
        <v>49150.378220967606</v>
      </c>
    </row>
    <row r="253">
      <c r="A253" s="187">
        <f>INPUT!D57</f>
        <v>101</v>
      </c>
      <c r="B253" s="189">
        <f>INPUT!H57*INPUT!I57*INPUT!J57*INPUT!AO57/1000</f>
        <v>8360</v>
      </c>
      <c r="C253" s="191">
        <f>INPUT!N57/COS(INPUT!P57)*2*INPUT!O57*INPUT!AQ57/1000</f>
        <v>24043.596138072862</v>
      </c>
      <c r="D253" s="189">
        <f>INPUT!K57*INPUT!L57*INPUT!AP57/1000</f>
        <v>8829.6704324174552</v>
      </c>
      <c r="E253" s="189">
        <f>0.85*INPUT!$B$3*INPUT!R57*INPUT!AA57/1000</f>
        <v>0</v>
      </c>
      <c r="F253" s="189">
        <f>INPUT!AD57*INPUT!AE57*INPUT!AF57*INPUT!BH57/1000</f>
        <v>1216</v>
      </c>
      <c r="G253" s="189">
        <f>INPUT!AG57*INPUT!AH57*INPUT!AI57*INPUT!BI57/1000</f>
        <v>0</v>
      </c>
      <c r="H253" s="189">
        <f>INPUT!AJ57*INPUT!$B$7/1000</f>
        <v>0</v>
      </c>
      <c r="I253" s="189">
        <f>INPUT!AK57*INPUT!$B$7/1000</f>
        <v>0</v>
      </c>
      <c r="J253" s="189">
        <f>INPUT!AL57</f>
        <v>0</v>
      </c>
      <c r="K253" s="189">
        <f>(INPUT!K57-2*INPUT!M57)*INPUT!Q57+INPUT!Q57*INPUT!Q57*TAN(INPUT!P57)</f>
        <v>0</v>
      </c>
      <c r="L253" s="280" t="str">
        <f>INPUT!BJ57</f>
        <v>8</v>
      </c>
      <c r="M253" s="191">
        <f>INPUT!BK57</f>
        <v>1245.273804662846</v>
      </c>
      <c r="N253" s="281">
        <f>INPUT!BL57</f>
        <v>49150.378220967606</v>
      </c>
    </row>
    <row r="254">
      <c r="A254" s="187">
        <f>INPUT!D58</f>
        <v>101</v>
      </c>
      <c r="B254" s="189">
        <f>INPUT!H58*INPUT!I58*INPUT!J58*INPUT!AO58/1000</f>
        <v>8360</v>
      </c>
      <c r="C254" s="191">
        <f>INPUT!N58/COS(INPUT!P58)*2*INPUT!O58*INPUT!AQ58/1000</f>
        <v>24043.596138072862</v>
      </c>
      <c r="D254" s="189">
        <f>INPUT!K58*INPUT!L58*INPUT!AP58/1000</f>
        <v>8829.6704324174552</v>
      </c>
      <c r="E254" s="189">
        <f>0.85*INPUT!$B$3*INPUT!R58*INPUT!AA58/1000</f>
        <v>0</v>
      </c>
      <c r="F254" s="189">
        <f>INPUT!AD58*INPUT!AE58*INPUT!AF58*INPUT!BH58/1000</f>
        <v>1216</v>
      </c>
      <c r="G254" s="189">
        <f>INPUT!AG58*INPUT!AH58*INPUT!AI58*INPUT!BI58/1000</f>
        <v>0</v>
      </c>
      <c r="H254" s="189">
        <f>INPUT!AJ58*INPUT!$B$7/1000</f>
        <v>0</v>
      </c>
      <c r="I254" s="189">
        <f>INPUT!AK58*INPUT!$B$7/1000</f>
        <v>0</v>
      </c>
      <c r="J254" s="189">
        <f>INPUT!AL58</f>
        <v>0</v>
      </c>
      <c r="K254" s="189">
        <f>(INPUT!K58-2*INPUT!M58)*INPUT!Q58+INPUT!Q58*INPUT!Q58*TAN(INPUT!P58)</f>
        <v>0</v>
      </c>
      <c r="L254" s="280" t="str">
        <f>INPUT!BJ58</f>
        <v>8</v>
      </c>
      <c r="M254" s="191">
        <f>INPUT!BK58</f>
        <v>1245.273804662846</v>
      </c>
      <c r="N254" s="281">
        <f>INPUT!BL58</f>
        <v>49150.378220967606</v>
      </c>
    </row>
    <row r="255">
      <c r="A255" s="187">
        <f>INPUT!D59</f>
        <v>101</v>
      </c>
      <c r="B255" s="189">
        <f>INPUT!H59*INPUT!I59*INPUT!J59*INPUT!AO59/1000</f>
        <v>8360</v>
      </c>
      <c r="C255" s="191">
        <f>INPUT!N59/COS(INPUT!P59)*2*INPUT!O59*INPUT!AQ59/1000</f>
        <v>24043.596138072862</v>
      </c>
      <c r="D255" s="189">
        <f>INPUT!K59*INPUT!L59*INPUT!AP59/1000</f>
        <v>8829.6704324174552</v>
      </c>
      <c r="E255" s="189">
        <f>0.85*INPUT!$B$3*INPUT!R59*INPUT!AA59/1000</f>
        <v>0</v>
      </c>
      <c r="F255" s="189">
        <f>INPUT!AD59*INPUT!AE59*INPUT!AF59*INPUT!BH59/1000</f>
        <v>1216</v>
      </c>
      <c r="G255" s="189">
        <f>INPUT!AG59*INPUT!AH59*INPUT!AI59*INPUT!BI59/1000</f>
        <v>0</v>
      </c>
      <c r="H255" s="189">
        <f>INPUT!AJ59*INPUT!$B$7/1000</f>
        <v>0</v>
      </c>
      <c r="I255" s="189">
        <f>INPUT!AK59*INPUT!$B$7/1000</f>
        <v>0</v>
      </c>
      <c r="J255" s="189">
        <f>INPUT!AL59</f>
        <v>0</v>
      </c>
      <c r="K255" s="189">
        <f>(INPUT!K59-2*INPUT!M59)*INPUT!Q59+INPUT!Q59*INPUT!Q59*TAN(INPUT!P59)</f>
        <v>0</v>
      </c>
      <c r="L255" s="280" t="str">
        <f>INPUT!BJ59</f>
        <v>8</v>
      </c>
      <c r="M255" s="191">
        <f>INPUT!BK59</f>
        <v>1245.273804662846</v>
      </c>
      <c r="N255" s="281">
        <f>INPUT!BL59</f>
        <v>49150.378220967606</v>
      </c>
    </row>
    <row r="256">
      <c r="A256" s="187">
        <f>INPUT!D60</f>
        <v>101</v>
      </c>
      <c r="B256" s="189">
        <f>INPUT!H60*INPUT!I60*INPUT!J60*INPUT!AO60/1000</f>
        <v>8360</v>
      </c>
      <c r="C256" s="191">
        <f>INPUT!N60/COS(INPUT!P60)*2*INPUT!O60*INPUT!AQ60/1000</f>
        <v>24043.596138072862</v>
      </c>
      <c r="D256" s="189">
        <f>INPUT!K60*INPUT!L60*INPUT!AP60/1000</f>
        <v>8829.6704324174552</v>
      </c>
      <c r="E256" s="189">
        <f>0.85*INPUT!$B$3*INPUT!R60*INPUT!AA60/1000</f>
        <v>0</v>
      </c>
      <c r="F256" s="189">
        <f>INPUT!AD60*INPUT!AE60*INPUT!AF60*INPUT!BH60/1000</f>
        <v>1216</v>
      </c>
      <c r="G256" s="189">
        <f>INPUT!AG60*INPUT!AH60*INPUT!AI60*INPUT!BI60/1000</f>
        <v>0</v>
      </c>
      <c r="H256" s="189">
        <f>INPUT!AJ60*INPUT!$B$7/1000</f>
        <v>0</v>
      </c>
      <c r="I256" s="189">
        <f>INPUT!AK60*INPUT!$B$7/1000</f>
        <v>0</v>
      </c>
      <c r="J256" s="189">
        <f>INPUT!AL60</f>
        <v>0</v>
      </c>
      <c r="K256" s="189">
        <f>(INPUT!K60-2*INPUT!M60)*INPUT!Q60+INPUT!Q60*INPUT!Q60*TAN(INPUT!P60)</f>
        <v>0</v>
      </c>
      <c r="L256" s="280" t="str">
        <f>INPUT!BJ60</f>
        <v>8</v>
      </c>
      <c r="M256" s="191">
        <f>INPUT!BK60</f>
        <v>1245.273804662846</v>
      </c>
      <c r="N256" s="281">
        <f>INPUT!BL60</f>
        <v>49150.378220967606</v>
      </c>
    </row>
    <row r="257">
      <c r="A257" s="187">
        <f>INPUT!D61</f>
        <v>101</v>
      </c>
      <c r="B257" s="189">
        <f>INPUT!H61*INPUT!I61*INPUT!J61*INPUT!AO61/1000</f>
        <v>8360</v>
      </c>
      <c r="C257" s="191">
        <f>INPUT!N61/COS(INPUT!P61)*2*INPUT!O61*INPUT!AQ61/1000</f>
        <v>24043.596138072862</v>
      </c>
      <c r="D257" s="189">
        <f>INPUT!K61*INPUT!L61*INPUT!AP61/1000</f>
        <v>8829.6704324174552</v>
      </c>
      <c r="E257" s="189">
        <f>0.85*INPUT!$B$3*INPUT!R61*INPUT!AA61/1000</f>
        <v>0</v>
      </c>
      <c r="F257" s="189">
        <f>INPUT!AD61*INPUT!AE61*INPUT!AF61*INPUT!BH61/1000</f>
        <v>1216</v>
      </c>
      <c r="G257" s="189">
        <f>INPUT!AG61*INPUT!AH61*INPUT!AI61*INPUT!BI61/1000</f>
        <v>0</v>
      </c>
      <c r="H257" s="189">
        <f>INPUT!AJ61*INPUT!$B$7/1000</f>
        <v>0</v>
      </c>
      <c r="I257" s="189">
        <f>INPUT!AK61*INPUT!$B$7/1000</f>
        <v>0</v>
      </c>
      <c r="J257" s="189">
        <f>INPUT!AL61</f>
        <v>0</v>
      </c>
      <c r="K257" s="189">
        <f>(INPUT!K61-2*INPUT!M61)*INPUT!Q61+INPUT!Q61*INPUT!Q61*TAN(INPUT!P61)</f>
        <v>0</v>
      </c>
      <c r="L257" s="280" t="str">
        <f>INPUT!BJ61</f>
        <v>8</v>
      </c>
      <c r="M257" s="191">
        <f>INPUT!BK61</f>
        <v>1245.273804662846</v>
      </c>
      <c r="N257" s="281">
        <f>INPUT!BL61</f>
        <v>49150.378220967606</v>
      </c>
    </row>
    <row r="258">
      <c r="A258" s="187">
        <f>INPUT!D62</f>
        <v>101</v>
      </c>
      <c r="B258" s="189">
        <f>INPUT!H62*INPUT!I62*INPUT!J62*INPUT!AO62/1000</f>
        <v>8360</v>
      </c>
      <c r="C258" s="191">
        <f>INPUT!N62/COS(INPUT!P62)*2*INPUT!O62*INPUT!AQ62/1000</f>
        <v>24043.596138072862</v>
      </c>
      <c r="D258" s="189">
        <f>INPUT!K62*INPUT!L62*INPUT!AP62/1000</f>
        <v>8829.6704324174552</v>
      </c>
      <c r="E258" s="189">
        <f>0.85*INPUT!$B$3*INPUT!R62*INPUT!AA62/1000</f>
        <v>0</v>
      </c>
      <c r="F258" s="189">
        <f>INPUT!AD62*INPUT!AE62*INPUT!AF62*INPUT!BH62/1000</f>
        <v>1216</v>
      </c>
      <c r="G258" s="189">
        <f>INPUT!AG62*INPUT!AH62*INPUT!AI62*INPUT!BI62/1000</f>
        <v>0</v>
      </c>
      <c r="H258" s="189">
        <f>INPUT!AJ62*INPUT!$B$7/1000</f>
        <v>0</v>
      </c>
      <c r="I258" s="189">
        <f>INPUT!AK62*INPUT!$B$7/1000</f>
        <v>0</v>
      </c>
      <c r="J258" s="189">
        <f>INPUT!AL62</f>
        <v>0</v>
      </c>
      <c r="K258" s="189">
        <f>(INPUT!K62-2*INPUT!M62)*INPUT!Q62+INPUT!Q62*INPUT!Q62*TAN(INPUT!P62)</f>
        <v>0</v>
      </c>
      <c r="L258" s="280" t="str">
        <f>INPUT!BJ62</f>
        <v>8</v>
      </c>
      <c r="M258" s="191">
        <f>INPUT!BK62</f>
        <v>1245.273804662846</v>
      </c>
      <c r="N258" s="281">
        <f>INPUT!BL62</f>
        <v>49150.378220967606</v>
      </c>
    </row>
    <row r="259">
      <c r="A259" s="187">
        <f>INPUT!D63</f>
        <v>101</v>
      </c>
      <c r="B259" s="189">
        <f>INPUT!H63*INPUT!I63*INPUT!J63*INPUT!AO63/1000</f>
        <v>8360</v>
      </c>
      <c r="C259" s="191">
        <f>INPUT!N63/COS(INPUT!P63)*2*INPUT!O63*INPUT!AQ63/1000</f>
        <v>24043.596138072862</v>
      </c>
      <c r="D259" s="189">
        <f>INPUT!K63*INPUT!L63*INPUT!AP63/1000</f>
        <v>8829.6704324174552</v>
      </c>
      <c r="E259" s="189">
        <f>0.85*INPUT!$B$3*INPUT!R63*INPUT!AA63/1000</f>
        <v>0</v>
      </c>
      <c r="F259" s="189">
        <f>INPUT!AD63*INPUT!AE63*INPUT!AF63*INPUT!BH63/1000</f>
        <v>1216</v>
      </c>
      <c r="G259" s="189">
        <f>INPUT!AG63*INPUT!AH63*INPUT!AI63*INPUT!BI63/1000</f>
        <v>0</v>
      </c>
      <c r="H259" s="189">
        <f>INPUT!AJ63*INPUT!$B$7/1000</f>
        <v>0</v>
      </c>
      <c r="I259" s="189">
        <f>INPUT!AK63*INPUT!$B$7/1000</f>
        <v>0</v>
      </c>
      <c r="J259" s="189">
        <f>INPUT!AL63</f>
        <v>0</v>
      </c>
      <c r="K259" s="189">
        <f>(INPUT!K63-2*INPUT!M63)*INPUT!Q63+INPUT!Q63*INPUT!Q63*TAN(INPUT!P63)</f>
        <v>0</v>
      </c>
      <c r="L259" s="280" t="str">
        <f>INPUT!BJ63</f>
        <v>8</v>
      </c>
      <c r="M259" s="191">
        <f>INPUT!BK63</f>
        <v>1245.273804662846</v>
      </c>
      <c r="N259" s="281">
        <f>INPUT!BL63</f>
        <v>49150.378220967606</v>
      </c>
    </row>
    <row r="260">
      <c r="A260" s="187">
        <f>INPUT!D64</f>
        <v>101</v>
      </c>
      <c r="B260" s="189">
        <f>INPUT!H64*INPUT!I64*INPUT!J64*INPUT!AO64/1000</f>
        <v>8360</v>
      </c>
      <c r="C260" s="191">
        <f>INPUT!N64/COS(INPUT!P64)*2*INPUT!O64*INPUT!AQ64/1000</f>
        <v>24043.596138072862</v>
      </c>
      <c r="D260" s="189">
        <f>INPUT!K64*INPUT!L64*INPUT!AP64/1000</f>
        <v>8829.6704324174552</v>
      </c>
      <c r="E260" s="189">
        <f>0.85*INPUT!$B$3*INPUT!R64*INPUT!AA64/1000</f>
        <v>0</v>
      </c>
      <c r="F260" s="189">
        <f>INPUT!AD64*INPUT!AE64*INPUT!AF64*INPUT!BH64/1000</f>
        <v>1216</v>
      </c>
      <c r="G260" s="189">
        <f>INPUT!AG64*INPUT!AH64*INPUT!AI64*INPUT!BI64/1000</f>
        <v>0</v>
      </c>
      <c r="H260" s="189">
        <f>INPUT!AJ64*INPUT!$B$7/1000</f>
        <v>0</v>
      </c>
      <c r="I260" s="189">
        <f>INPUT!AK64*INPUT!$B$7/1000</f>
        <v>0</v>
      </c>
      <c r="J260" s="189">
        <f>INPUT!AL64</f>
        <v>0</v>
      </c>
      <c r="K260" s="189">
        <f>(INPUT!K64-2*INPUT!M64)*INPUT!Q64+INPUT!Q64*INPUT!Q64*TAN(INPUT!P64)</f>
        <v>0</v>
      </c>
      <c r="L260" s="280" t="str">
        <f>INPUT!BJ64</f>
        <v>8</v>
      </c>
      <c r="M260" s="191">
        <f>INPUT!BK64</f>
        <v>1245.273804662846</v>
      </c>
      <c r="N260" s="281">
        <f>INPUT!BL64</f>
        <v>49150.378220967606</v>
      </c>
    </row>
    <row r="261">
      <c r="A261" s="187">
        <f>INPUT!D65</f>
        <v>101</v>
      </c>
      <c r="B261" s="189">
        <f>INPUT!H65*INPUT!I65*INPUT!J65*INPUT!AO65/1000</f>
        <v>8360</v>
      </c>
      <c r="C261" s="191">
        <f>INPUT!N65/COS(INPUT!P65)*2*INPUT!O65*INPUT!AQ65/1000</f>
        <v>24043.596138072862</v>
      </c>
      <c r="D261" s="189">
        <f>INPUT!K65*INPUT!L65*INPUT!AP65/1000</f>
        <v>8829.6704324174552</v>
      </c>
      <c r="E261" s="189">
        <f>0.85*INPUT!$B$3*INPUT!R65*INPUT!AA65/1000</f>
        <v>0</v>
      </c>
      <c r="F261" s="189">
        <f>INPUT!AD65*INPUT!AE65*INPUT!AF65*INPUT!BH65/1000</f>
        <v>1216</v>
      </c>
      <c r="G261" s="189">
        <f>INPUT!AG65*INPUT!AH65*INPUT!AI65*INPUT!BI65/1000</f>
        <v>0</v>
      </c>
      <c r="H261" s="189">
        <f>INPUT!AJ65*INPUT!$B$7/1000</f>
        <v>0</v>
      </c>
      <c r="I261" s="189">
        <f>INPUT!AK65*INPUT!$B$7/1000</f>
        <v>0</v>
      </c>
      <c r="J261" s="189">
        <f>INPUT!AL65</f>
        <v>0</v>
      </c>
      <c r="K261" s="189">
        <f>(INPUT!K65-2*INPUT!M65)*INPUT!Q65+INPUT!Q65*INPUT!Q65*TAN(INPUT!P65)</f>
        <v>0</v>
      </c>
      <c r="L261" s="280" t="str">
        <f>INPUT!BJ65</f>
        <v>8</v>
      </c>
      <c r="M261" s="191">
        <f>INPUT!BK65</f>
        <v>1245.273804662846</v>
      </c>
      <c r="N261" s="281">
        <f>INPUT!BL65</f>
        <v>49150.378220967606</v>
      </c>
    </row>
    <row r="262">
      <c r="A262" s="187">
        <f>INPUT!D66</f>
        <v>101</v>
      </c>
      <c r="B262" s="189">
        <f>INPUT!H66*INPUT!I66*INPUT!J66*INPUT!AO66/1000</f>
        <v>8360</v>
      </c>
      <c r="C262" s="191">
        <f>INPUT!N66/COS(INPUT!P66)*2*INPUT!O66*INPUT!AQ66/1000</f>
        <v>24043.596138072862</v>
      </c>
      <c r="D262" s="189">
        <f>INPUT!K66*INPUT!L66*INPUT!AP66/1000</f>
        <v>8829.6704324174552</v>
      </c>
      <c r="E262" s="189">
        <f>0.85*INPUT!$B$3*INPUT!R66*INPUT!AA66/1000</f>
        <v>0</v>
      </c>
      <c r="F262" s="189">
        <f>INPUT!AD66*INPUT!AE66*INPUT!AF66*INPUT!BH66/1000</f>
        <v>1216</v>
      </c>
      <c r="G262" s="189">
        <f>INPUT!AG66*INPUT!AH66*INPUT!AI66*INPUT!BI66/1000</f>
        <v>0</v>
      </c>
      <c r="H262" s="189">
        <f>INPUT!AJ66*INPUT!$B$7/1000</f>
        <v>0</v>
      </c>
      <c r="I262" s="189">
        <f>INPUT!AK66*INPUT!$B$7/1000</f>
        <v>0</v>
      </c>
      <c r="J262" s="189">
        <f>INPUT!AL66</f>
        <v>0</v>
      </c>
      <c r="K262" s="189">
        <f>(INPUT!K66-2*INPUT!M66)*INPUT!Q66+INPUT!Q66*INPUT!Q66*TAN(INPUT!P66)</f>
        <v>0</v>
      </c>
      <c r="L262" s="280" t="str">
        <f>INPUT!BJ66</f>
        <v>8</v>
      </c>
      <c r="M262" s="191">
        <f>INPUT!BK66</f>
        <v>1245.273804662846</v>
      </c>
      <c r="N262" s="281">
        <f>INPUT!BL66</f>
        <v>49150.378220967606</v>
      </c>
    </row>
    <row r="263">
      <c r="A263" s="187">
        <f>INPUT!D67</f>
        <v>101</v>
      </c>
      <c r="B263" s="189">
        <f>INPUT!H67*INPUT!I67*INPUT!J67*INPUT!AO67/1000</f>
        <v>8360</v>
      </c>
      <c r="C263" s="191">
        <f>INPUT!N67/COS(INPUT!P67)*2*INPUT!O67*INPUT!AQ67/1000</f>
        <v>24043.596138072862</v>
      </c>
      <c r="D263" s="189">
        <f>INPUT!K67*INPUT!L67*INPUT!AP67/1000</f>
        <v>8829.6704324174552</v>
      </c>
      <c r="E263" s="189">
        <f>0.85*INPUT!$B$3*INPUT!R67*INPUT!AA67/1000</f>
        <v>0</v>
      </c>
      <c r="F263" s="189">
        <f>INPUT!AD67*INPUT!AE67*INPUT!AF67*INPUT!BH67/1000</f>
        <v>1216</v>
      </c>
      <c r="G263" s="189">
        <f>INPUT!AG67*INPUT!AH67*INPUT!AI67*INPUT!BI67/1000</f>
        <v>0</v>
      </c>
      <c r="H263" s="189">
        <f>INPUT!AJ67*INPUT!$B$7/1000</f>
        <v>0</v>
      </c>
      <c r="I263" s="189">
        <f>INPUT!AK67*INPUT!$B$7/1000</f>
        <v>0</v>
      </c>
      <c r="J263" s="189">
        <f>INPUT!AL67</f>
        <v>0</v>
      </c>
      <c r="K263" s="189">
        <f>(INPUT!K67-2*INPUT!M67)*INPUT!Q67+INPUT!Q67*INPUT!Q67*TAN(INPUT!P67)</f>
        <v>0</v>
      </c>
      <c r="L263" s="280" t="str">
        <f>INPUT!BJ67</f>
        <v>8</v>
      </c>
      <c r="M263" s="191">
        <f>INPUT!BK67</f>
        <v>1245.273804662846</v>
      </c>
      <c r="N263" s="281">
        <f>INPUT!BL67</f>
        <v>49150.378220967606</v>
      </c>
    </row>
    <row r="264">
      <c r="A264" s="187">
        <f>INPUT!D68</f>
        <v>101</v>
      </c>
      <c r="B264" s="189">
        <f>INPUT!H68*INPUT!I68*INPUT!J68*INPUT!AO68/1000</f>
        <v>8360</v>
      </c>
      <c r="C264" s="191">
        <f>INPUT!N68/COS(INPUT!P68)*2*INPUT!O68*INPUT!AQ68/1000</f>
        <v>24043.596138072862</v>
      </c>
      <c r="D264" s="189">
        <f>INPUT!K68*INPUT!L68*INPUT!AP68/1000</f>
        <v>8829.6704324174552</v>
      </c>
      <c r="E264" s="189">
        <f>0.85*INPUT!$B$3*INPUT!R68*INPUT!AA68/1000</f>
        <v>0</v>
      </c>
      <c r="F264" s="189">
        <f>INPUT!AD68*INPUT!AE68*INPUT!AF68*INPUT!BH68/1000</f>
        <v>1216</v>
      </c>
      <c r="G264" s="189">
        <f>INPUT!AG68*INPUT!AH68*INPUT!AI68*INPUT!BI68/1000</f>
        <v>0</v>
      </c>
      <c r="H264" s="189">
        <f>INPUT!AJ68*INPUT!$B$7/1000</f>
        <v>0</v>
      </c>
      <c r="I264" s="189">
        <f>INPUT!AK68*INPUT!$B$7/1000</f>
        <v>0</v>
      </c>
      <c r="J264" s="189">
        <f>INPUT!AL68</f>
        <v>0</v>
      </c>
      <c r="K264" s="189">
        <f>(INPUT!K68-2*INPUT!M68)*INPUT!Q68+INPUT!Q68*INPUT!Q68*TAN(INPUT!P68)</f>
        <v>0</v>
      </c>
      <c r="L264" s="280" t="str">
        <f>INPUT!BJ68</f>
        <v>8</v>
      </c>
      <c r="M264" s="191">
        <f>INPUT!BK68</f>
        <v>1245.273804662846</v>
      </c>
      <c r="N264" s="281">
        <f>INPUT!BL68</f>
        <v>49150.378220967606</v>
      </c>
    </row>
    <row r="265">
      <c r="A265" s="187">
        <f>INPUT!D69</f>
        <v>101</v>
      </c>
      <c r="B265" s="189">
        <f>INPUT!H69*INPUT!I69*INPUT!J69*INPUT!AO69/1000</f>
        <v>8360</v>
      </c>
      <c r="C265" s="191">
        <f>INPUT!N69/COS(INPUT!P69)*2*INPUT!O69*INPUT!AQ69/1000</f>
        <v>24043.596138072862</v>
      </c>
      <c r="D265" s="189">
        <f>INPUT!K69*INPUT!L69*INPUT!AP69/1000</f>
        <v>8829.6704324174552</v>
      </c>
      <c r="E265" s="189">
        <f>0.85*INPUT!$B$3*INPUT!R69*INPUT!AA69/1000</f>
        <v>0</v>
      </c>
      <c r="F265" s="189">
        <f>INPUT!AD69*INPUT!AE69*INPUT!AF69*INPUT!BH69/1000</f>
        <v>1216</v>
      </c>
      <c r="G265" s="189">
        <f>INPUT!AG69*INPUT!AH69*INPUT!AI69*INPUT!BI69/1000</f>
        <v>0</v>
      </c>
      <c r="H265" s="189">
        <f>INPUT!AJ69*INPUT!$B$7/1000</f>
        <v>0</v>
      </c>
      <c r="I265" s="189">
        <f>INPUT!AK69*INPUT!$B$7/1000</f>
        <v>0</v>
      </c>
      <c r="J265" s="189">
        <f>INPUT!AL69</f>
        <v>0</v>
      </c>
      <c r="K265" s="189">
        <f>(INPUT!K69-2*INPUT!M69)*INPUT!Q69+INPUT!Q69*INPUT!Q69*TAN(INPUT!P69)</f>
        <v>0</v>
      </c>
      <c r="L265" s="280" t="str">
        <f>INPUT!BJ69</f>
        <v>8</v>
      </c>
      <c r="M265" s="191">
        <f>INPUT!BK69</f>
        <v>1245.273804662846</v>
      </c>
      <c r="N265" s="281">
        <f>INPUT!BL69</f>
        <v>49150.378220967606</v>
      </c>
    </row>
    <row r="266">
      <c r="A266" s="187">
        <f>INPUT!D70</f>
        <v>101</v>
      </c>
      <c r="B266" s="189">
        <f>INPUT!H70*INPUT!I70*INPUT!J70*INPUT!AO70/1000</f>
        <v>8360</v>
      </c>
      <c r="C266" s="191">
        <f>INPUT!N70/COS(INPUT!P70)*2*INPUT!O70*INPUT!AQ70/1000</f>
        <v>24043.596138072862</v>
      </c>
      <c r="D266" s="189">
        <f>INPUT!K70*INPUT!L70*INPUT!AP70/1000</f>
        <v>8829.6704324174552</v>
      </c>
      <c r="E266" s="189">
        <f>0.85*INPUT!$B$3*INPUT!R70*INPUT!AA70/1000</f>
        <v>0</v>
      </c>
      <c r="F266" s="189">
        <f>INPUT!AD70*INPUT!AE70*INPUT!AF70*INPUT!BH70/1000</f>
        <v>1216</v>
      </c>
      <c r="G266" s="189">
        <f>INPUT!AG70*INPUT!AH70*INPUT!AI70*INPUT!BI70/1000</f>
        <v>0</v>
      </c>
      <c r="H266" s="189">
        <f>INPUT!AJ70*INPUT!$B$7/1000</f>
        <v>0</v>
      </c>
      <c r="I266" s="189">
        <f>INPUT!AK70*INPUT!$B$7/1000</f>
        <v>0</v>
      </c>
      <c r="J266" s="189">
        <f>INPUT!AL70</f>
        <v>0</v>
      </c>
      <c r="K266" s="189">
        <f>(INPUT!K70-2*INPUT!M70)*INPUT!Q70+INPUT!Q70*INPUT!Q70*TAN(INPUT!P70)</f>
        <v>0</v>
      </c>
      <c r="L266" s="280" t="str">
        <f>INPUT!BJ70</f>
        <v>8</v>
      </c>
      <c r="M266" s="191">
        <f>INPUT!BK70</f>
        <v>1245.273804662846</v>
      </c>
      <c r="N266" s="281">
        <f>INPUT!BL70</f>
        <v>49150.378220967606</v>
      </c>
    </row>
    <row r="267">
      <c r="A267" s="187">
        <f>INPUT!D71</f>
        <v>101</v>
      </c>
      <c r="B267" s="189">
        <f>INPUT!H71*INPUT!I71*INPUT!J71*INPUT!AO71/1000</f>
        <v>8360</v>
      </c>
      <c r="C267" s="191">
        <f>INPUT!N71/COS(INPUT!P71)*2*INPUT!O71*INPUT!AQ71/1000</f>
        <v>24043.596138072862</v>
      </c>
      <c r="D267" s="189">
        <f>INPUT!K71*INPUT!L71*INPUT!AP71/1000</f>
        <v>8829.6704324174552</v>
      </c>
      <c r="E267" s="189">
        <f>0.85*INPUT!$B$3*INPUT!R71*INPUT!AA71/1000</f>
        <v>0</v>
      </c>
      <c r="F267" s="189">
        <f>INPUT!AD71*INPUT!AE71*INPUT!AF71*INPUT!BH71/1000</f>
        <v>1216</v>
      </c>
      <c r="G267" s="189">
        <f>INPUT!AG71*INPUT!AH71*INPUT!AI71*INPUT!BI71/1000</f>
        <v>0</v>
      </c>
      <c r="H267" s="189">
        <f>INPUT!AJ71*INPUT!$B$7/1000</f>
        <v>0</v>
      </c>
      <c r="I267" s="189">
        <f>INPUT!AK71*INPUT!$B$7/1000</f>
        <v>0</v>
      </c>
      <c r="J267" s="189">
        <f>INPUT!AL71</f>
        <v>0</v>
      </c>
      <c r="K267" s="189">
        <f>(INPUT!K71-2*INPUT!M71)*INPUT!Q71+INPUT!Q71*INPUT!Q71*TAN(INPUT!P71)</f>
        <v>0</v>
      </c>
      <c r="L267" s="280" t="str">
        <f>INPUT!BJ71</f>
        <v>8</v>
      </c>
      <c r="M267" s="191">
        <f>INPUT!BK71</f>
        <v>1245.273804662846</v>
      </c>
      <c r="N267" s="281">
        <f>INPUT!BL71</f>
        <v>49150.378220967606</v>
      </c>
    </row>
    <row r="268">
      <c r="A268" s="187">
        <f>INPUT!D72</f>
        <v>101</v>
      </c>
      <c r="B268" s="189">
        <f>INPUT!H72*INPUT!I72*INPUT!J72*INPUT!AO72/1000</f>
        <v>8360</v>
      </c>
      <c r="C268" s="191">
        <f>INPUT!N72/COS(INPUT!P72)*2*INPUT!O72*INPUT!AQ72/1000</f>
        <v>24043.596138072862</v>
      </c>
      <c r="D268" s="189">
        <f>INPUT!K72*INPUT!L72*INPUT!AP72/1000</f>
        <v>8829.6704324174552</v>
      </c>
      <c r="E268" s="189">
        <f>0.85*INPUT!$B$3*INPUT!R72*INPUT!AA72/1000</f>
        <v>0</v>
      </c>
      <c r="F268" s="189">
        <f>INPUT!AD72*INPUT!AE72*INPUT!AF72*INPUT!BH72/1000</f>
        <v>1216</v>
      </c>
      <c r="G268" s="189">
        <f>INPUT!AG72*INPUT!AH72*INPUT!AI72*INPUT!BI72/1000</f>
        <v>0</v>
      </c>
      <c r="H268" s="189">
        <f>INPUT!AJ72*INPUT!$B$7/1000</f>
        <v>0</v>
      </c>
      <c r="I268" s="189">
        <f>INPUT!AK72*INPUT!$B$7/1000</f>
        <v>0</v>
      </c>
      <c r="J268" s="189">
        <f>INPUT!AL72</f>
        <v>0</v>
      </c>
      <c r="K268" s="189">
        <f>(INPUT!K72-2*INPUT!M72)*INPUT!Q72+INPUT!Q72*INPUT!Q72*TAN(INPUT!P72)</f>
        <v>0</v>
      </c>
      <c r="L268" s="280" t="str">
        <f>INPUT!BJ72</f>
        <v>8</v>
      </c>
      <c r="M268" s="191">
        <f>INPUT!BK72</f>
        <v>1245.273804662846</v>
      </c>
      <c r="N268" s="281">
        <f>INPUT!BL72</f>
        <v>49150.378220967606</v>
      </c>
    </row>
    <row r="269">
      <c r="A269" s="187">
        <f>INPUT!D73</f>
        <v>101</v>
      </c>
      <c r="B269" s="189">
        <f>INPUT!H73*INPUT!I73*INPUT!J73*INPUT!AO73/1000</f>
        <v>8360</v>
      </c>
      <c r="C269" s="191">
        <f>INPUT!N73/COS(INPUT!P73)*2*INPUT!O73*INPUT!AQ73/1000</f>
        <v>24043.596138072862</v>
      </c>
      <c r="D269" s="189">
        <f>INPUT!K73*INPUT!L73*INPUT!AP73/1000</f>
        <v>8829.6704324174552</v>
      </c>
      <c r="E269" s="189">
        <f>0.85*INPUT!$B$3*INPUT!R73*INPUT!AA73/1000</f>
        <v>0</v>
      </c>
      <c r="F269" s="189">
        <f>INPUT!AD73*INPUT!AE73*INPUT!AF73*INPUT!BH73/1000</f>
        <v>1216</v>
      </c>
      <c r="G269" s="189">
        <f>INPUT!AG73*INPUT!AH73*INPUT!AI73*INPUT!BI73/1000</f>
        <v>0</v>
      </c>
      <c r="H269" s="189">
        <f>INPUT!AJ73*INPUT!$B$7/1000</f>
        <v>0</v>
      </c>
      <c r="I269" s="189">
        <f>INPUT!AK73*INPUT!$B$7/1000</f>
        <v>0</v>
      </c>
      <c r="J269" s="189">
        <f>INPUT!AL73</f>
        <v>0</v>
      </c>
      <c r="K269" s="189">
        <f>(INPUT!K73-2*INPUT!M73)*INPUT!Q73+INPUT!Q73*INPUT!Q73*TAN(INPUT!P73)</f>
        <v>0</v>
      </c>
      <c r="L269" s="280" t="str">
        <f>INPUT!BJ73</f>
        <v>8</v>
      </c>
      <c r="M269" s="191">
        <f>INPUT!BK73</f>
        <v>1245.273804662846</v>
      </c>
      <c r="N269" s="281">
        <f>INPUT!BL73</f>
        <v>49150.378220967606</v>
      </c>
    </row>
    <row r="270">
      <c r="A270" s="187">
        <f>INPUT!D74</f>
        <v>101</v>
      </c>
      <c r="B270" s="189">
        <f>INPUT!H74*INPUT!I74*INPUT!J74*INPUT!AO74/1000</f>
        <v>8360</v>
      </c>
      <c r="C270" s="191">
        <f>INPUT!N74/COS(INPUT!P74)*2*INPUT!O74*INPUT!AQ74/1000</f>
        <v>24043.596138072862</v>
      </c>
      <c r="D270" s="189">
        <f>INPUT!K74*INPUT!L74*INPUT!AP74/1000</f>
        <v>8829.6704324174552</v>
      </c>
      <c r="E270" s="189">
        <f>0.85*INPUT!$B$3*INPUT!R74*INPUT!AA74/1000</f>
        <v>0</v>
      </c>
      <c r="F270" s="189">
        <f>INPUT!AD74*INPUT!AE74*INPUT!AF74*INPUT!BH74/1000</f>
        <v>1216</v>
      </c>
      <c r="G270" s="189">
        <f>INPUT!AG74*INPUT!AH74*INPUT!AI74*INPUT!BI74/1000</f>
        <v>0</v>
      </c>
      <c r="H270" s="189">
        <f>INPUT!AJ74*INPUT!$B$7/1000</f>
        <v>0</v>
      </c>
      <c r="I270" s="189">
        <f>INPUT!AK74*INPUT!$B$7/1000</f>
        <v>0</v>
      </c>
      <c r="J270" s="189">
        <f>INPUT!AL74</f>
        <v>0</v>
      </c>
      <c r="K270" s="189">
        <f>(INPUT!K74-2*INPUT!M74)*INPUT!Q74+INPUT!Q74*INPUT!Q74*TAN(INPUT!P74)</f>
        <v>0</v>
      </c>
      <c r="L270" s="280" t="str">
        <f>INPUT!BJ74</f>
        <v>8</v>
      </c>
      <c r="M270" s="191">
        <f>INPUT!BK74</f>
        <v>1245.273804662846</v>
      </c>
      <c r="N270" s="281">
        <f>INPUT!BL74</f>
        <v>49150.378220967606</v>
      </c>
    </row>
    <row r="271">
      <c r="A271" s="187">
        <f>INPUT!D75</f>
        <v>101</v>
      </c>
      <c r="B271" s="189">
        <f>INPUT!H75*INPUT!I75*INPUT!J75*INPUT!AO75/1000</f>
        <v>8360</v>
      </c>
      <c r="C271" s="191">
        <f>INPUT!N75/COS(INPUT!P75)*2*INPUT!O75*INPUT!AQ75/1000</f>
        <v>24043.596138072862</v>
      </c>
      <c r="D271" s="189">
        <f>INPUT!K75*INPUT!L75*INPUT!AP75/1000</f>
        <v>8829.6704324174552</v>
      </c>
      <c r="E271" s="189">
        <f>0.85*INPUT!$B$3*INPUT!R75*INPUT!AA75/1000</f>
        <v>0</v>
      </c>
      <c r="F271" s="189">
        <f>INPUT!AD75*INPUT!AE75*INPUT!AF75*INPUT!BH75/1000</f>
        <v>1216</v>
      </c>
      <c r="G271" s="189">
        <f>INPUT!AG75*INPUT!AH75*INPUT!AI75*INPUT!BI75/1000</f>
        <v>0</v>
      </c>
      <c r="H271" s="189">
        <f>INPUT!AJ75*INPUT!$B$7/1000</f>
        <v>0</v>
      </c>
      <c r="I271" s="189">
        <f>INPUT!AK75*INPUT!$B$7/1000</f>
        <v>0</v>
      </c>
      <c r="J271" s="189">
        <f>INPUT!AL75</f>
        <v>0</v>
      </c>
      <c r="K271" s="189">
        <f>(INPUT!K75-2*INPUT!M75)*INPUT!Q75+INPUT!Q75*INPUT!Q75*TAN(INPUT!P75)</f>
        <v>0</v>
      </c>
      <c r="L271" s="280" t="str">
        <f>INPUT!BJ75</f>
        <v>8</v>
      </c>
      <c r="M271" s="191">
        <f>INPUT!BK75</f>
        <v>1245.273804662846</v>
      </c>
      <c r="N271" s="281">
        <f>INPUT!BL75</f>
        <v>49150.378220967606</v>
      </c>
    </row>
    <row r="272">
      <c r="A272" s="187">
        <f>INPUT!D76</f>
        <v>101</v>
      </c>
      <c r="B272" s="189">
        <f>INPUT!H76*INPUT!I76*INPUT!J76*INPUT!AO76/1000</f>
        <v>8360</v>
      </c>
      <c r="C272" s="191">
        <f>INPUT!N76/COS(INPUT!P76)*2*INPUT!O76*INPUT!AQ76/1000</f>
        <v>24043.596138072862</v>
      </c>
      <c r="D272" s="189">
        <f>INPUT!K76*INPUT!L76*INPUT!AP76/1000</f>
        <v>8829.6704324174552</v>
      </c>
      <c r="E272" s="189">
        <f>0.85*INPUT!$B$3*INPUT!R76*INPUT!AA76/1000</f>
        <v>0</v>
      </c>
      <c r="F272" s="189">
        <f>INPUT!AD76*INPUT!AE76*INPUT!AF76*INPUT!BH76/1000</f>
        <v>1216</v>
      </c>
      <c r="G272" s="189">
        <f>INPUT!AG76*INPUT!AH76*INPUT!AI76*INPUT!BI76/1000</f>
        <v>0</v>
      </c>
      <c r="H272" s="189">
        <f>INPUT!AJ76*INPUT!$B$7/1000</f>
        <v>0</v>
      </c>
      <c r="I272" s="189">
        <f>INPUT!AK76*INPUT!$B$7/1000</f>
        <v>0</v>
      </c>
      <c r="J272" s="189">
        <f>INPUT!AL76</f>
        <v>0</v>
      </c>
      <c r="K272" s="189">
        <f>(INPUT!K76-2*INPUT!M76)*INPUT!Q76+INPUT!Q76*INPUT!Q76*TAN(INPUT!P76)</f>
        <v>0</v>
      </c>
      <c r="L272" s="280" t="str">
        <f>INPUT!BJ76</f>
        <v>8</v>
      </c>
      <c r="M272" s="191">
        <f>INPUT!BK76</f>
        <v>1245.273804662846</v>
      </c>
      <c r="N272" s="281">
        <f>INPUT!BL76</f>
        <v>49150.378220967606</v>
      </c>
    </row>
    <row r="273">
      <c r="A273" s="187">
        <f>INPUT!D77</f>
        <v>101</v>
      </c>
      <c r="B273" s="189">
        <f>INPUT!H77*INPUT!I77*INPUT!J77*INPUT!AO77/1000</f>
        <v>8360</v>
      </c>
      <c r="C273" s="191">
        <f>INPUT!N77/COS(INPUT!P77)*2*INPUT!O77*INPUT!AQ77/1000</f>
        <v>24043.596138072862</v>
      </c>
      <c r="D273" s="189">
        <f>INPUT!K77*INPUT!L77*INPUT!AP77/1000</f>
        <v>8829.6704324174552</v>
      </c>
      <c r="E273" s="189">
        <f>0.85*INPUT!$B$3*INPUT!R77*INPUT!AA77/1000</f>
        <v>0</v>
      </c>
      <c r="F273" s="189">
        <f>INPUT!AD77*INPUT!AE77*INPUT!AF77*INPUT!BH77/1000</f>
        <v>1216</v>
      </c>
      <c r="G273" s="189">
        <f>INPUT!AG77*INPUT!AH77*INPUT!AI77*INPUT!BI77/1000</f>
        <v>0</v>
      </c>
      <c r="H273" s="189">
        <f>INPUT!AJ77*INPUT!$B$7/1000</f>
        <v>0</v>
      </c>
      <c r="I273" s="189">
        <f>INPUT!AK77*INPUT!$B$7/1000</f>
        <v>0</v>
      </c>
      <c r="J273" s="189">
        <f>INPUT!AL77</f>
        <v>0</v>
      </c>
      <c r="K273" s="189">
        <f>(INPUT!K77-2*INPUT!M77)*INPUT!Q77+INPUT!Q77*INPUT!Q77*TAN(INPUT!P77)</f>
        <v>0</v>
      </c>
      <c r="L273" s="280" t="str">
        <f>INPUT!BJ77</f>
        <v>8</v>
      </c>
      <c r="M273" s="191">
        <f>INPUT!BK77</f>
        <v>1245.273804662846</v>
      </c>
      <c r="N273" s="281">
        <f>INPUT!BL77</f>
        <v>49150.378220967606</v>
      </c>
    </row>
    <row r="274">
      <c r="A274" s="187">
        <f>INPUT!D78</f>
        <v>101</v>
      </c>
      <c r="B274" s="189">
        <f>INPUT!H78*INPUT!I78*INPUT!J78*INPUT!AO78/1000</f>
        <v>8360</v>
      </c>
      <c r="C274" s="191">
        <f>INPUT!N78/COS(INPUT!P78)*2*INPUT!O78*INPUT!AQ78/1000</f>
        <v>24043.596138072862</v>
      </c>
      <c r="D274" s="189">
        <f>INPUT!K78*INPUT!L78*INPUT!AP78/1000</f>
        <v>8829.6704324174552</v>
      </c>
      <c r="E274" s="189">
        <f>0.85*INPUT!$B$3*INPUT!R78*INPUT!AA78/1000</f>
        <v>0</v>
      </c>
      <c r="F274" s="189">
        <f>INPUT!AD78*INPUT!AE78*INPUT!AF78*INPUT!BH78/1000</f>
        <v>1216</v>
      </c>
      <c r="G274" s="189">
        <f>INPUT!AG78*INPUT!AH78*INPUT!AI78*INPUT!BI78/1000</f>
        <v>0</v>
      </c>
      <c r="H274" s="189">
        <f>INPUT!AJ78*INPUT!$B$7/1000</f>
        <v>0</v>
      </c>
      <c r="I274" s="189">
        <f>INPUT!AK78*INPUT!$B$7/1000</f>
        <v>0</v>
      </c>
      <c r="J274" s="189">
        <f>INPUT!AL78</f>
        <v>0</v>
      </c>
      <c r="K274" s="189">
        <f>(INPUT!K78-2*INPUT!M78)*INPUT!Q78+INPUT!Q78*INPUT!Q78*TAN(INPUT!P78)</f>
        <v>0</v>
      </c>
      <c r="L274" s="280" t="str">
        <f>INPUT!BJ78</f>
        <v>8</v>
      </c>
      <c r="M274" s="191">
        <f>INPUT!BK78</f>
        <v>1245.273804662846</v>
      </c>
      <c r="N274" s="281">
        <f>INPUT!BL78</f>
        <v>49150.378220967606</v>
      </c>
    </row>
    <row r="276"/>
    <row r="277" ht="15" customHeight="1">
      <c r="A277" s="39" t="s">
        <v>727</v>
      </c>
      <c r="B277" s="257"/>
      <c r="C277" s="213"/>
      <c r="D277" s="213"/>
      <c r="E277" s="213"/>
      <c r="F277" s="4"/>
      <c r="G277" s="110"/>
      <c r="H277" s="110"/>
      <c r="I277" s="110"/>
      <c r="J277" s="4"/>
      <c r="K277" s="4"/>
      <c r="L277" s="207"/>
      <c r="M277" s="4"/>
      <c r="N277" s="234" t="s">
        <v>728</v>
      </c>
    </row>
    <row r="278" ht="15" customHeight="1">
      <c r="A278" s="39"/>
      <c r="B278" s="257"/>
      <c r="C278" s="213"/>
      <c r="D278" s="213"/>
      <c r="E278" s="213"/>
      <c r="F278" s="4"/>
      <c r="G278" s="110"/>
      <c r="H278" s="110"/>
      <c r="I278" s="110"/>
      <c r="J278" s="4"/>
      <c r="K278" s="4"/>
      <c r="L278" s="207"/>
      <c r="M278" s="4"/>
      <c r="O278" s="306"/>
    </row>
    <row r="279" ht="15" customHeight="1">
      <c r="A279" s="260" t="s">
        <v>197</v>
      </c>
      <c r="B279" s="4" t="s">
        <v>729</v>
      </c>
      <c r="C279" s="4"/>
      <c r="D279" s="4"/>
      <c r="E279" s="4"/>
      <c r="F279" s="4"/>
      <c r="G279" s="110"/>
      <c r="H279" s="110"/>
      <c r="I279" s="110"/>
      <c r="J279" s="4"/>
      <c r="K279" s="4"/>
      <c r="L279" s="207"/>
      <c r="M279" s="4"/>
      <c r="N279" s="4"/>
    </row>
    <row r="280" ht="15" customHeight="1">
      <c r="A280" s="40"/>
      <c r="B280" s="4"/>
      <c r="C280" s="4"/>
      <c r="D280" s="4" t="s">
        <v>730</v>
      </c>
      <c r="E280" s="30" t="s">
        <v>173</v>
      </c>
      <c r="F280" s="4" t="s">
        <v>731</v>
      </c>
      <c r="G280" s="110"/>
      <c r="H280" s="110"/>
      <c r="I280" s="110"/>
      <c r="J280" s="4"/>
      <c r="K280" s="4"/>
      <c r="L280" s="207"/>
      <c r="M280" s="4"/>
      <c r="N280" s="4"/>
    </row>
    <row r="281" ht="15" customHeight="1">
      <c r="A281" s="40"/>
      <c r="B281" s="4"/>
      <c r="C281" s="4"/>
      <c r="D281" s="4" t="s">
        <v>414</v>
      </c>
      <c r="E281" s="30" t="s">
        <v>173</v>
      </c>
      <c r="F281" s="4" t="s">
        <v>732</v>
      </c>
      <c r="G281" s="110"/>
      <c r="H281" s="110"/>
      <c r="I281" s="110"/>
      <c r="J281" s="4"/>
      <c r="K281" s="4"/>
      <c r="L281" s="207"/>
      <c r="M281" s="4"/>
      <c r="N281" s="4"/>
    </row>
    <row r="282" ht="15" customHeight="1">
      <c r="A282" s="40"/>
      <c r="B282" s="4"/>
      <c r="C282" s="4"/>
      <c r="D282" s="4" t="s">
        <v>733</v>
      </c>
      <c r="E282" s="30" t="s">
        <v>173</v>
      </c>
      <c r="F282" s="4" t="s">
        <v>734</v>
      </c>
      <c r="G282" s="110"/>
      <c r="H282" s="110"/>
      <c r="I282" s="110"/>
      <c r="J282" s="4"/>
      <c r="K282" s="4"/>
      <c r="L282" s="207"/>
      <c r="M282" s="4"/>
      <c r="N282" s="4"/>
    </row>
    <row r="283" ht="15" customHeight="1">
      <c r="A283" s="40"/>
      <c r="B283" s="4"/>
      <c r="C283" s="4"/>
      <c r="D283" s="4"/>
      <c r="E283" s="30"/>
      <c r="F283" s="4"/>
      <c r="G283" s="110"/>
      <c r="H283" s="110"/>
      <c r="I283" s="110"/>
      <c r="J283" s="4"/>
      <c r="K283" s="4"/>
      <c r="L283" s="207"/>
      <c r="M283" s="4"/>
      <c r="N283" s="4"/>
    </row>
    <row r="284" ht="15" customHeight="1">
      <c r="A284" s="40"/>
      <c r="C284" s="4"/>
      <c r="D284" s="4" t="s">
        <v>171</v>
      </c>
      <c r="E284" s="4"/>
      <c r="F284" s="4" t="s">
        <v>735</v>
      </c>
      <c r="G284" s="4"/>
      <c r="H284" s="110"/>
      <c r="I284" s="110"/>
      <c r="J284" s="4"/>
      <c r="K284" s="4"/>
      <c r="L284" s="207"/>
      <c r="M284" s="4"/>
      <c r="N284" s="4"/>
    </row>
    <row r="285" ht="15" customHeight="1">
      <c r="A285" s="40"/>
      <c r="B285" s="4"/>
      <c r="C285" s="4"/>
      <c r="D285" s="4"/>
      <c r="E285" s="4"/>
      <c r="F285" s="4" t="s">
        <v>736</v>
      </c>
      <c r="G285" s="4"/>
      <c r="H285" s="110"/>
      <c r="I285" s="110"/>
      <c r="J285" s="4"/>
      <c r="K285" s="4"/>
      <c r="L285" s="207"/>
      <c r="M285" s="4"/>
      <c r="N285" s="4"/>
    </row>
    <row r="286" ht="15" customHeight="1">
      <c r="A286" s="40"/>
      <c r="B286" s="4"/>
      <c r="C286" s="4"/>
      <c r="D286" s="4"/>
      <c r="E286" s="4"/>
      <c r="F286" s="4" t="s">
        <v>737</v>
      </c>
      <c r="G286" s="4"/>
      <c r="H286" s="110"/>
      <c r="I286" s="110"/>
      <c r="J286" s="4"/>
      <c r="K286" s="4"/>
      <c r="L286" s="207"/>
      <c r="M286" s="4"/>
      <c r="N286" s="4"/>
    </row>
    <row r="287" ht="15" customHeight="1">
      <c r="A287" s="260" t="s">
        <v>197</v>
      </c>
      <c r="B287" s="4" t="s">
        <v>738</v>
      </c>
      <c r="C287" s="4"/>
      <c r="D287" s="4"/>
      <c r="E287" s="4"/>
      <c r="I287" s="110"/>
      <c r="J287" s="4"/>
      <c r="K287" s="4"/>
      <c r="L287" s="207"/>
      <c r="M287" s="4"/>
      <c r="N287" s="4"/>
    </row>
    <row r="288" ht="15" customHeight="1">
      <c r="A288" s="40"/>
      <c r="B288" s="4"/>
      <c r="C288" s="4"/>
      <c r="D288" s="4"/>
      <c r="E288" s="4"/>
      <c r="F288" s="4" t="s">
        <v>739</v>
      </c>
      <c r="G288" s="110"/>
      <c r="H288" s="110"/>
      <c r="I288" s="110"/>
      <c r="J288" s="4"/>
      <c r="K288" s="4"/>
      <c r="L288" s="207"/>
      <c r="M288" s="4"/>
      <c r="N288" s="4"/>
    </row>
    <row r="289" ht="15" customHeight="1">
      <c r="A289" s="40"/>
      <c r="B289" s="4"/>
      <c r="C289" s="4"/>
      <c r="D289" s="4"/>
      <c r="E289" s="4"/>
      <c r="F289" s="4"/>
      <c r="G289" s="110"/>
      <c r="H289" s="110"/>
      <c r="I289" s="110"/>
      <c r="J289" s="4"/>
      <c r="K289" s="4"/>
      <c r="L289" s="207"/>
      <c r="M289" s="4"/>
      <c r="N289" s="4"/>
    </row>
    <row r="290" ht="15" customHeight="1">
      <c r="A290" s="59" t="s">
        <v>740</v>
      </c>
      <c r="B290" s="4"/>
      <c r="C290" s="4"/>
      <c r="D290" s="110"/>
      <c r="E290" s="110"/>
      <c r="F290" s="110"/>
      <c r="G290" s="4"/>
      <c r="H290" s="4"/>
      <c r="I290" s="207"/>
      <c r="J290" s="4"/>
      <c r="K290" s="4"/>
      <c r="L290" s="207"/>
      <c r="M290" s="4"/>
      <c r="N290" s="4"/>
    </row>
    <row r="291" ht="15" customHeight="1">
      <c r="A291" s="273" t="s">
        <v>230</v>
      </c>
      <c r="B291" s="274" t="s">
        <v>741</v>
      </c>
      <c r="C291" s="274" t="s">
        <v>742</v>
      </c>
      <c r="D291" s="274" t="s">
        <v>743</v>
      </c>
      <c r="E291" s="274" t="s">
        <v>744</v>
      </c>
      <c r="F291" s="274" t="s">
        <v>745</v>
      </c>
      <c r="G291" s="274" t="s">
        <v>746</v>
      </c>
      <c r="H291" s="274" t="s">
        <v>747</v>
      </c>
      <c r="I291" s="275" t="s">
        <v>748</v>
      </c>
      <c r="J291" s="4"/>
      <c r="K291" s="4"/>
      <c r="L291" s="207"/>
      <c r="M291" s="4"/>
      <c r="N291" s="4"/>
    </row>
    <row r="292" ht="15" customHeight="1">
      <c r="A292" s="276"/>
      <c r="B292" s="277"/>
      <c r="C292" s="277"/>
      <c r="D292" s="277"/>
      <c r="E292" s="277"/>
      <c r="F292" s="277"/>
      <c r="G292" s="277"/>
      <c r="H292" s="277"/>
      <c r="I292" s="278"/>
      <c r="J292" s="4"/>
      <c r="K292" s="4"/>
      <c r="L292" s="207"/>
      <c r="M292" s="4"/>
      <c r="N292" s="4"/>
    </row>
    <row r="293" ht="15" customHeight="1">
      <c r="A293" s="187">
        <f>A199</f>
        <v>101</v>
      </c>
      <c r="B293" s="191">
        <f>INPUT!BE3</f>
        <v>-11.221598452888429</v>
      </c>
      <c r="C293" s="191">
        <f>INPUT!BF3</f>
        <v>-2.330866368538409E-05</v>
      </c>
      <c r="D293" s="191">
        <f>INPUT!BG3</f>
        <v>-34.7103241229197</v>
      </c>
      <c r="E293" s="191">
        <f>INPUT!BM3</f>
        <v>-16.412485402193852</v>
      </c>
      <c r="F293" s="191">
        <f>INPUT!BN3</f>
        <v>-8.999003956472734</v>
      </c>
      <c r="G293" s="191">
        <f>1.25*(B293+C293)</f>
        <v>-14.027027201940143</v>
      </c>
      <c r="H293" s="191">
        <f>1.25*D293</f>
        <v>-43.387905153649626</v>
      </c>
      <c r="I293" s="286">
        <f>1.25*E293+1.5*F293</f>
        <v>-34.014112687451416</v>
      </c>
      <c r="J293" s="4"/>
      <c r="K293" s="4"/>
      <c r="L293" s="207"/>
      <c r="M293" s="4"/>
      <c r="N293" s="4"/>
    </row>
    <row r="294">
      <c r="A294" s="187">
        <f>A200</f>
        <v>101</v>
      </c>
      <c r="B294" s="191">
        <f>INPUT!BE4</f>
        <v>-11.221598452888429</v>
      </c>
      <c r="C294" s="191">
        <f>INPUT!BF4</f>
        <v>-2.330866368538409E-05</v>
      </c>
      <c r="D294" s="191">
        <f>INPUT!BG4</f>
        <v>-34.7103241229197</v>
      </c>
      <c r="E294" s="191">
        <f>INPUT!BM4</f>
        <v>-16.412485402193852</v>
      </c>
      <c r="F294" s="191">
        <f>INPUT!BN4</f>
        <v>-8.999003956472734</v>
      </c>
      <c r="G294" s="191">
        <f>1.25*(B294+C294)</f>
        <v>-14.027027201940143</v>
      </c>
      <c r="H294" s="191">
        <f>1.25*D294</f>
        <v>-43.387905153649626</v>
      </c>
      <c r="I294" s="286">
        <f>1.25*E294+1.5*F294</f>
        <v>-34.014112687451416</v>
      </c>
      <c r="J294" s="4"/>
      <c r="K294" s="4"/>
      <c r="L294" s="207"/>
      <c r="M294" s="4"/>
      <c r="N294" s="4"/>
    </row>
    <row r="295">
      <c r="A295" s="187">
        <f>A201</f>
        <v>101</v>
      </c>
      <c r="B295" s="191">
        <f>INPUT!BE5</f>
        <v>-11.221598452888429</v>
      </c>
      <c r="C295" s="191">
        <f>INPUT!BF5</f>
        <v>-2.330866368538409E-05</v>
      </c>
      <c r="D295" s="191">
        <f>INPUT!BG5</f>
        <v>-34.7103241229197</v>
      </c>
      <c r="E295" s="191">
        <f>INPUT!BM5</f>
        <v>-16.412485402193852</v>
      </c>
      <c r="F295" s="191">
        <f>INPUT!BN5</f>
        <v>-8.999003956472734</v>
      </c>
      <c r="G295" s="191">
        <f>1.25*(B295+C295)</f>
        <v>-14.027027201940143</v>
      </c>
      <c r="H295" s="191">
        <f>1.25*D295</f>
        <v>-43.387905153649626</v>
      </c>
      <c r="I295" s="286">
        <f>1.25*E295+1.5*F295</f>
        <v>-34.014112687451416</v>
      </c>
      <c r="J295" s="4"/>
      <c r="K295" s="4"/>
      <c r="L295" s="207"/>
      <c r="M295" s="4"/>
      <c r="N295" s="4"/>
    </row>
    <row r="296">
      <c r="A296" s="187">
        <f>A202</f>
        <v>101</v>
      </c>
      <c r="B296" s="191">
        <f>INPUT!BE6</f>
        <v>-11.221598452888429</v>
      </c>
      <c r="C296" s="191">
        <f>INPUT!BF6</f>
        <v>-2.330866368538409E-05</v>
      </c>
      <c r="D296" s="191">
        <f>INPUT!BG6</f>
        <v>-34.7103241229197</v>
      </c>
      <c r="E296" s="191">
        <f>INPUT!BM6</f>
        <v>-16.412485402193852</v>
      </c>
      <c r="F296" s="191">
        <f>INPUT!BN6</f>
        <v>-8.999003956472734</v>
      </c>
      <c r="G296" s="191">
        <f>1.25*(B296+C296)</f>
        <v>-14.027027201940143</v>
      </c>
      <c r="H296" s="191">
        <f>1.25*D296</f>
        <v>-43.387905153649626</v>
      </c>
      <c r="I296" s="286">
        <f>1.25*E296+1.5*F296</f>
        <v>-34.014112687451416</v>
      </c>
      <c r="J296" s="4"/>
      <c r="K296" s="4"/>
      <c r="L296" s="207"/>
      <c r="M296" s="4"/>
      <c r="N296" s="4"/>
    </row>
    <row r="297">
      <c r="A297" s="187">
        <f>A203</f>
        <v>101</v>
      </c>
      <c r="B297" s="191">
        <f>INPUT!BE7</f>
        <v>-11.221598452888429</v>
      </c>
      <c r="C297" s="191">
        <f>INPUT!BF7</f>
        <v>-2.330866368538409E-05</v>
      </c>
      <c r="D297" s="191">
        <f>INPUT!BG7</f>
        <v>-34.7103241229197</v>
      </c>
      <c r="E297" s="191">
        <f>INPUT!BM7</f>
        <v>-16.412485402193852</v>
      </c>
      <c r="F297" s="191">
        <f>INPUT!BN7</f>
        <v>-8.999003956472734</v>
      </c>
      <c r="G297" s="191">
        <f>1.25*(B297+C297)</f>
        <v>-14.027027201940143</v>
      </c>
      <c r="H297" s="191">
        <f>1.25*D297</f>
        <v>-43.387905153649626</v>
      </c>
      <c r="I297" s="286">
        <f>1.25*E297+1.5*F297</f>
        <v>-34.014112687451416</v>
      </c>
      <c r="J297" s="4"/>
      <c r="K297" s="4"/>
      <c r="L297" s="207"/>
      <c r="M297" s="4"/>
      <c r="N297" s="4"/>
    </row>
    <row r="298">
      <c r="A298" s="187">
        <f>A204</f>
        <v>101</v>
      </c>
      <c r="B298" s="191">
        <f>INPUT!BE8</f>
        <v>-11.221598452888429</v>
      </c>
      <c r="C298" s="191">
        <f>INPUT!BF8</f>
        <v>-2.330866368538409E-05</v>
      </c>
      <c r="D298" s="191">
        <f>INPUT!BG8</f>
        <v>-34.7103241229197</v>
      </c>
      <c r="E298" s="191">
        <f>INPUT!BM8</f>
        <v>-16.412485402193852</v>
      </c>
      <c r="F298" s="191">
        <f>INPUT!BN8</f>
        <v>-8.999003956472734</v>
      </c>
      <c r="G298" s="191">
        <f>1.25*(B298+C298)</f>
        <v>-14.027027201940143</v>
      </c>
      <c r="H298" s="191">
        <f>1.25*D298</f>
        <v>-43.387905153649626</v>
      </c>
      <c r="I298" s="286">
        <f>1.25*E298+1.5*F298</f>
        <v>-34.014112687451416</v>
      </c>
      <c r="J298" s="4"/>
      <c r="K298" s="4"/>
      <c r="L298" s="207"/>
      <c r="M298" s="4"/>
      <c r="N298" s="4"/>
    </row>
    <row r="299">
      <c r="A299" s="187">
        <f>A205</f>
        <v>101</v>
      </c>
      <c r="B299" s="191">
        <f>INPUT!BE9</f>
        <v>-11.221598452888429</v>
      </c>
      <c r="C299" s="191">
        <f>INPUT!BF9</f>
        <v>-2.330866368538409E-05</v>
      </c>
      <c r="D299" s="191">
        <f>INPUT!BG9</f>
        <v>-34.7103241229197</v>
      </c>
      <c r="E299" s="191">
        <f>INPUT!BM9</f>
        <v>-16.412485402193852</v>
      </c>
      <c r="F299" s="191">
        <f>INPUT!BN9</f>
        <v>-8.999003956472734</v>
      </c>
      <c r="G299" s="191">
        <f>1.25*(B299+C299)</f>
        <v>-14.027027201940143</v>
      </c>
      <c r="H299" s="191">
        <f>1.25*D299</f>
        <v>-43.387905153649626</v>
      </c>
      <c r="I299" s="286">
        <f>1.25*E299+1.5*F299</f>
        <v>-34.014112687451416</v>
      </c>
      <c r="J299" s="4"/>
      <c r="K299" s="4"/>
      <c r="L299" s="207"/>
      <c r="M299" s="4"/>
      <c r="N299" s="4"/>
    </row>
    <row r="300">
      <c r="A300" s="187">
        <f>A206</f>
        <v>101</v>
      </c>
      <c r="B300" s="191">
        <f>INPUT!BE10</f>
        <v>-11.221598452888429</v>
      </c>
      <c r="C300" s="191">
        <f>INPUT!BF10</f>
        <v>-2.330866368538409E-05</v>
      </c>
      <c r="D300" s="191">
        <f>INPUT!BG10</f>
        <v>-34.7103241229197</v>
      </c>
      <c r="E300" s="191">
        <f>INPUT!BM10</f>
        <v>-16.412485402193852</v>
      </c>
      <c r="F300" s="191">
        <f>INPUT!BN10</f>
        <v>-8.999003956472734</v>
      </c>
      <c r="G300" s="191">
        <f>1.25*(B300+C300)</f>
        <v>-14.027027201940143</v>
      </c>
      <c r="H300" s="191">
        <f>1.25*D300</f>
        <v>-43.387905153649626</v>
      </c>
      <c r="I300" s="286">
        <f>1.25*E300+1.5*F300</f>
        <v>-34.014112687451416</v>
      </c>
      <c r="J300" s="4"/>
      <c r="K300" s="4"/>
      <c r="L300" s="207"/>
      <c r="M300" s="4"/>
      <c r="N300" s="4"/>
    </row>
    <row r="301">
      <c r="A301" s="187">
        <f>A207</f>
        <v>101</v>
      </c>
      <c r="B301" s="191">
        <f>INPUT!BE11</f>
        <v>-11.221598452888429</v>
      </c>
      <c r="C301" s="191">
        <f>INPUT!BF11</f>
        <v>-2.330866368538409E-05</v>
      </c>
      <c r="D301" s="191">
        <f>INPUT!BG11</f>
        <v>-34.7103241229197</v>
      </c>
      <c r="E301" s="191">
        <f>INPUT!BM11</f>
        <v>-16.412485402193852</v>
      </c>
      <c r="F301" s="191">
        <f>INPUT!BN11</f>
        <v>-8.999003956472734</v>
      </c>
      <c r="G301" s="191">
        <f>1.25*(B301+C301)</f>
        <v>-14.027027201940143</v>
      </c>
      <c r="H301" s="191">
        <f>1.25*D301</f>
        <v>-43.387905153649626</v>
      </c>
      <c r="I301" s="286">
        <f>1.25*E301+1.5*F301</f>
        <v>-34.014112687451416</v>
      </c>
      <c r="J301" s="4"/>
      <c r="K301" s="4"/>
      <c r="L301" s="207"/>
      <c r="M301" s="4"/>
      <c r="N301" s="4"/>
    </row>
    <row r="302">
      <c r="A302" s="187">
        <f>A208</f>
        <v>101</v>
      </c>
      <c r="B302" s="191">
        <f>INPUT!BE12</f>
        <v>-11.221598452888429</v>
      </c>
      <c r="C302" s="191">
        <f>INPUT!BF12</f>
        <v>-2.330866368538409E-05</v>
      </c>
      <c r="D302" s="191">
        <f>INPUT!BG12</f>
        <v>-34.7103241229197</v>
      </c>
      <c r="E302" s="191">
        <f>INPUT!BM12</f>
        <v>-16.412485402193852</v>
      </c>
      <c r="F302" s="191">
        <f>INPUT!BN12</f>
        <v>-8.999003956472734</v>
      </c>
      <c r="G302" s="191">
        <f>1.25*(B302+C302)</f>
        <v>-14.027027201940143</v>
      </c>
      <c r="H302" s="191">
        <f>1.25*D302</f>
        <v>-43.387905153649626</v>
      </c>
      <c r="I302" s="286">
        <f>1.25*E302+1.5*F302</f>
        <v>-34.014112687451416</v>
      </c>
      <c r="J302" s="4"/>
      <c r="K302" s="4"/>
      <c r="L302" s="207"/>
      <c r="M302" s="4"/>
      <c r="N302" s="4"/>
    </row>
    <row r="303">
      <c r="A303" s="187">
        <f>A209</f>
        <v>101</v>
      </c>
      <c r="B303" s="191">
        <f>INPUT!BE13</f>
        <v>-11.221598452888429</v>
      </c>
      <c r="C303" s="191">
        <f>INPUT!BF13</f>
        <v>-2.330866368538409E-05</v>
      </c>
      <c r="D303" s="191">
        <f>INPUT!BG13</f>
        <v>-34.7103241229197</v>
      </c>
      <c r="E303" s="191">
        <f>INPUT!BM13</f>
        <v>-16.412485402193852</v>
      </c>
      <c r="F303" s="191">
        <f>INPUT!BN13</f>
        <v>-8.999003956472734</v>
      </c>
      <c r="G303" s="191">
        <f>1.25*(B303+C303)</f>
        <v>-14.027027201940143</v>
      </c>
      <c r="H303" s="191">
        <f>1.25*D303</f>
        <v>-43.387905153649626</v>
      </c>
      <c r="I303" s="286">
        <f>1.25*E303+1.5*F303</f>
        <v>-34.014112687451416</v>
      </c>
      <c r="J303" s="4"/>
      <c r="K303" s="4"/>
      <c r="L303" s="207"/>
      <c r="M303" s="4"/>
      <c r="N303" s="4"/>
    </row>
    <row r="304">
      <c r="A304" s="187">
        <f>A210</f>
        <v>101</v>
      </c>
      <c r="B304" s="191">
        <f>INPUT!BE14</f>
        <v>-11.221598452888429</v>
      </c>
      <c r="C304" s="191">
        <f>INPUT!BF14</f>
        <v>-2.330866368538409E-05</v>
      </c>
      <c r="D304" s="191">
        <f>INPUT!BG14</f>
        <v>-34.7103241229197</v>
      </c>
      <c r="E304" s="191">
        <f>INPUT!BM14</f>
        <v>-16.412485402193852</v>
      </c>
      <c r="F304" s="191">
        <f>INPUT!BN14</f>
        <v>-8.999003956472734</v>
      </c>
      <c r="G304" s="191">
        <f>1.25*(B304+C304)</f>
        <v>-14.027027201940143</v>
      </c>
      <c r="H304" s="191">
        <f>1.25*D304</f>
        <v>-43.387905153649626</v>
      </c>
      <c r="I304" s="286">
        <f>1.25*E304+1.5*F304</f>
        <v>-34.014112687451416</v>
      </c>
      <c r="J304" s="4"/>
      <c r="K304" s="4"/>
      <c r="L304" s="207"/>
      <c r="M304" s="4"/>
      <c r="N304" s="4"/>
    </row>
    <row r="305">
      <c r="A305" s="187">
        <f>A211</f>
        <v>101</v>
      </c>
      <c r="B305" s="191">
        <f>INPUT!BE15</f>
        <v>-11.221598452888429</v>
      </c>
      <c r="C305" s="191">
        <f>INPUT!BF15</f>
        <v>-2.330866368538409E-05</v>
      </c>
      <c r="D305" s="191">
        <f>INPUT!BG15</f>
        <v>-34.7103241229197</v>
      </c>
      <c r="E305" s="191">
        <f>INPUT!BM15</f>
        <v>-16.412485402193852</v>
      </c>
      <c r="F305" s="191">
        <f>INPUT!BN15</f>
        <v>-8.999003956472734</v>
      </c>
      <c r="G305" s="191">
        <f>1.25*(B305+C305)</f>
        <v>-14.027027201940143</v>
      </c>
      <c r="H305" s="191">
        <f>1.25*D305</f>
        <v>-43.387905153649626</v>
      </c>
      <c r="I305" s="286">
        <f>1.25*E305+1.5*F305</f>
        <v>-34.014112687451416</v>
      </c>
      <c r="J305" s="4"/>
      <c r="K305" s="4"/>
      <c r="L305" s="207"/>
      <c r="M305" s="4"/>
      <c r="N305" s="4"/>
    </row>
    <row r="306">
      <c r="A306" s="187">
        <f>A212</f>
        <v>101</v>
      </c>
      <c r="B306" s="191">
        <f>INPUT!BE16</f>
        <v>-11.221598452888429</v>
      </c>
      <c r="C306" s="191">
        <f>INPUT!BF16</f>
        <v>-2.330866368538409E-05</v>
      </c>
      <c r="D306" s="191">
        <f>INPUT!BG16</f>
        <v>-34.7103241229197</v>
      </c>
      <c r="E306" s="191">
        <f>INPUT!BM16</f>
        <v>-16.412485402193852</v>
      </c>
      <c r="F306" s="191">
        <f>INPUT!BN16</f>
        <v>-8.999003956472734</v>
      </c>
      <c r="G306" s="191">
        <f>1.25*(B306+C306)</f>
        <v>-14.027027201940143</v>
      </c>
      <c r="H306" s="191">
        <f>1.25*D306</f>
        <v>-43.387905153649626</v>
      </c>
      <c r="I306" s="286">
        <f>1.25*E306+1.5*F306</f>
        <v>-34.014112687451416</v>
      </c>
      <c r="J306" s="4"/>
      <c r="K306" s="4"/>
      <c r="L306" s="207"/>
      <c r="M306" s="4"/>
      <c r="N306" s="4"/>
    </row>
    <row r="307">
      <c r="A307" s="187">
        <f>A213</f>
        <v>101</v>
      </c>
      <c r="B307" s="191">
        <f>INPUT!BE17</f>
        <v>-11.221598452888429</v>
      </c>
      <c r="C307" s="191">
        <f>INPUT!BF17</f>
        <v>-2.330866368538409E-05</v>
      </c>
      <c r="D307" s="191">
        <f>INPUT!BG17</f>
        <v>-34.7103241229197</v>
      </c>
      <c r="E307" s="191">
        <f>INPUT!BM17</f>
        <v>-16.412485402193852</v>
      </c>
      <c r="F307" s="191">
        <f>INPUT!BN17</f>
        <v>-8.999003956472734</v>
      </c>
      <c r="G307" s="191">
        <f>1.25*(B307+C307)</f>
        <v>-14.027027201940143</v>
      </c>
      <c r="H307" s="191">
        <f>1.25*D307</f>
        <v>-43.387905153649626</v>
      </c>
      <c r="I307" s="286">
        <f>1.25*E307+1.5*F307</f>
        <v>-34.014112687451416</v>
      </c>
      <c r="J307" s="4"/>
      <c r="K307" s="4"/>
      <c r="L307" s="207"/>
      <c r="M307" s="4"/>
      <c r="N307" s="4"/>
    </row>
    <row r="308">
      <c r="A308" s="187">
        <f>A214</f>
        <v>101</v>
      </c>
      <c r="B308" s="191">
        <f>INPUT!BE18</f>
        <v>-11.221598452888429</v>
      </c>
      <c r="C308" s="191">
        <f>INPUT!BF18</f>
        <v>-2.330866368538409E-05</v>
      </c>
      <c r="D308" s="191">
        <f>INPUT!BG18</f>
        <v>-34.7103241229197</v>
      </c>
      <c r="E308" s="191">
        <f>INPUT!BM18</f>
        <v>-16.412485402193852</v>
      </c>
      <c r="F308" s="191">
        <f>INPUT!BN18</f>
        <v>-8.999003956472734</v>
      </c>
      <c r="G308" s="191">
        <f>1.25*(B308+C308)</f>
        <v>-14.027027201940143</v>
      </c>
      <c r="H308" s="191">
        <f>1.25*D308</f>
        <v>-43.387905153649626</v>
      </c>
      <c r="I308" s="286">
        <f>1.25*E308+1.5*F308</f>
        <v>-34.014112687451416</v>
      </c>
      <c r="J308" s="4"/>
      <c r="K308" s="4"/>
      <c r="L308" s="207"/>
      <c r="M308" s="4"/>
      <c r="N308" s="4"/>
    </row>
    <row r="309">
      <c r="A309" s="187">
        <f>A215</f>
        <v>101</v>
      </c>
      <c r="B309" s="191">
        <f>INPUT!BE19</f>
        <v>-11.221598452888429</v>
      </c>
      <c r="C309" s="191">
        <f>INPUT!BF19</f>
        <v>-2.330866368538409E-05</v>
      </c>
      <c r="D309" s="191">
        <f>INPUT!BG19</f>
        <v>-34.7103241229197</v>
      </c>
      <c r="E309" s="191">
        <f>INPUT!BM19</f>
        <v>-16.412485402193852</v>
      </c>
      <c r="F309" s="191">
        <f>INPUT!BN19</f>
        <v>-8.999003956472734</v>
      </c>
      <c r="G309" s="191">
        <f>1.25*(B309+C309)</f>
        <v>-14.027027201940143</v>
      </c>
      <c r="H309" s="191">
        <f>1.25*D309</f>
        <v>-43.387905153649626</v>
      </c>
      <c r="I309" s="286">
        <f>1.25*E309+1.5*F309</f>
        <v>-34.014112687451416</v>
      </c>
      <c r="J309" s="4"/>
      <c r="K309" s="4"/>
      <c r="L309" s="207"/>
      <c r="M309" s="4"/>
      <c r="N309" s="4"/>
    </row>
    <row r="310">
      <c r="A310" s="187">
        <f>A216</f>
        <v>101</v>
      </c>
      <c r="B310" s="191">
        <f>INPUT!BE20</f>
        <v>-11.221598452888429</v>
      </c>
      <c r="C310" s="191">
        <f>INPUT!BF20</f>
        <v>-2.330866368538409E-05</v>
      </c>
      <c r="D310" s="191">
        <f>INPUT!BG20</f>
        <v>-34.7103241229197</v>
      </c>
      <c r="E310" s="191">
        <f>INPUT!BM20</f>
        <v>-16.412485402193852</v>
      </c>
      <c r="F310" s="191">
        <f>INPUT!BN20</f>
        <v>-8.999003956472734</v>
      </c>
      <c r="G310" s="191">
        <f>1.25*(B310+C310)</f>
        <v>-14.027027201940143</v>
      </c>
      <c r="H310" s="191">
        <f>1.25*D310</f>
        <v>-43.387905153649626</v>
      </c>
      <c r="I310" s="286">
        <f>1.25*E310+1.5*F310</f>
        <v>-34.014112687451416</v>
      </c>
      <c r="J310" s="4"/>
      <c r="K310" s="4"/>
      <c r="L310" s="207"/>
      <c r="M310" s="4"/>
      <c r="N310" s="4"/>
    </row>
    <row r="311">
      <c r="A311" s="187">
        <f>A217</f>
        <v>101</v>
      </c>
      <c r="B311" s="191">
        <f>INPUT!BE21</f>
        <v>-11.221598452888429</v>
      </c>
      <c r="C311" s="191">
        <f>INPUT!BF21</f>
        <v>-2.330866368538409E-05</v>
      </c>
      <c r="D311" s="191">
        <f>INPUT!BG21</f>
        <v>-34.7103241229197</v>
      </c>
      <c r="E311" s="191">
        <f>INPUT!BM21</f>
        <v>-16.412485402193852</v>
      </c>
      <c r="F311" s="191">
        <f>INPUT!BN21</f>
        <v>-8.999003956472734</v>
      </c>
      <c r="G311" s="191">
        <f>1.25*(B311+C311)</f>
        <v>-14.027027201940143</v>
      </c>
      <c r="H311" s="191">
        <f>1.25*D311</f>
        <v>-43.387905153649626</v>
      </c>
      <c r="I311" s="286">
        <f>1.25*E311+1.5*F311</f>
        <v>-34.014112687451416</v>
      </c>
      <c r="J311" s="4"/>
      <c r="K311" s="4"/>
      <c r="L311" s="207"/>
      <c r="M311" s="4"/>
      <c r="N311" s="4"/>
    </row>
    <row r="312">
      <c r="A312" s="187">
        <f>A218</f>
        <v>101</v>
      </c>
      <c r="B312" s="191">
        <f>INPUT!BE22</f>
        <v>-11.221598452888429</v>
      </c>
      <c r="C312" s="191">
        <f>INPUT!BF22</f>
        <v>-2.330866368538409E-05</v>
      </c>
      <c r="D312" s="191">
        <f>INPUT!BG22</f>
        <v>-34.7103241229197</v>
      </c>
      <c r="E312" s="191">
        <f>INPUT!BM22</f>
        <v>-16.412485402193852</v>
      </c>
      <c r="F312" s="191">
        <f>INPUT!BN22</f>
        <v>-8.999003956472734</v>
      </c>
      <c r="G312" s="191">
        <f>1.25*(B312+C312)</f>
        <v>-14.027027201940143</v>
      </c>
      <c r="H312" s="191">
        <f>1.25*D312</f>
        <v>-43.387905153649626</v>
      </c>
      <c r="I312" s="286">
        <f>1.25*E312+1.5*F312</f>
        <v>-34.014112687451416</v>
      </c>
      <c r="J312" s="4"/>
      <c r="K312" s="4"/>
      <c r="L312" s="207"/>
      <c r="M312" s="4"/>
      <c r="N312" s="4"/>
    </row>
    <row r="313">
      <c r="A313" s="187">
        <f>A219</f>
        <v>101</v>
      </c>
      <c r="B313" s="191">
        <f>INPUT!BE23</f>
        <v>-11.221598452888429</v>
      </c>
      <c r="C313" s="191">
        <f>INPUT!BF23</f>
        <v>-2.330866368538409E-05</v>
      </c>
      <c r="D313" s="191">
        <f>INPUT!BG23</f>
        <v>-34.7103241229197</v>
      </c>
      <c r="E313" s="191">
        <f>INPUT!BM23</f>
        <v>-16.412485402193852</v>
      </c>
      <c r="F313" s="191">
        <f>INPUT!BN23</f>
        <v>-8.999003956472734</v>
      </c>
      <c r="G313" s="191">
        <f>1.25*(B313+C313)</f>
        <v>-14.027027201940143</v>
      </c>
      <c r="H313" s="191">
        <f>1.25*D313</f>
        <v>-43.387905153649626</v>
      </c>
      <c r="I313" s="286">
        <f>1.25*E313+1.5*F313</f>
        <v>-34.014112687451416</v>
      </c>
      <c r="J313" s="4"/>
      <c r="K313" s="4"/>
      <c r="L313" s="207"/>
      <c r="M313" s="4"/>
      <c r="N313" s="4"/>
    </row>
    <row r="314">
      <c r="A314" s="187">
        <f>A220</f>
        <v>101</v>
      </c>
      <c r="B314" s="191">
        <f>INPUT!BE24</f>
        <v>-11.221598452888429</v>
      </c>
      <c r="C314" s="191">
        <f>INPUT!BF24</f>
        <v>-2.330866368538409E-05</v>
      </c>
      <c r="D314" s="191">
        <f>INPUT!BG24</f>
        <v>-34.7103241229197</v>
      </c>
      <c r="E314" s="191">
        <f>INPUT!BM24</f>
        <v>-16.412485402193852</v>
      </c>
      <c r="F314" s="191">
        <f>INPUT!BN24</f>
        <v>-8.999003956472734</v>
      </c>
      <c r="G314" s="191">
        <f>1.25*(B314+C314)</f>
        <v>-14.027027201940143</v>
      </c>
      <c r="H314" s="191">
        <f>1.25*D314</f>
        <v>-43.387905153649626</v>
      </c>
      <c r="I314" s="286">
        <f>1.25*E314+1.5*F314</f>
        <v>-34.014112687451416</v>
      </c>
      <c r="J314" s="4"/>
      <c r="K314" s="4"/>
      <c r="L314" s="207"/>
      <c r="M314" s="4"/>
      <c r="N314" s="4"/>
    </row>
    <row r="315">
      <c r="A315" s="187">
        <f>A221</f>
        <v>101</v>
      </c>
      <c r="B315" s="191">
        <f>INPUT!BE25</f>
        <v>-11.221598452888429</v>
      </c>
      <c r="C315" s="191">
        <f>INPUT!BF25</f>
        <v>-2.330866368538409E-05</v>
      </c>
      <c r="D315" s="191">
        <f>INPUT!BG25</f>
        <v>-34.7103241229197</v>
      </c>
      <c r="E315" s="191">
        <f>INPUT!BM25</f>
        <v>-16.412485402193852</v>
      </c>
      <c r="F315" s="191">
        <f>INPUT!BN25</f>
        <v>-8.999003956472734</v>
      </c>
      <c r="G315" s="191">
        <f>1.25*(B315+C315)</f>
        <v>-14.027027201940143</v>
      </c>
      <c r="H315" s="191">
        <f>1.25*D315</f>
        <v>-43.387905153649626</v>
      </c>
      <c r="I315" s="286">
        <f>1.25*E315+1.5*F315</f>
        <v>-34.014112687451416</v>
      </c>
      <c r="J315" s="4"/>
      <c r="K315" s="4"/>
      <c r="L315" s="207"/>
      <c r="M315" s="4"/>
      <c r="N315" s="4"/>
    </row>
    <row r="316">
      <c r="A316" s="187">
        <f>A222</f>
        <v>101</v>
      </c>
      <c r="B316" s="191">
        <f>INPUT!BE26</f>
        <v>-11.221598452888429</v>
      </c>
      <c r="C316" s="191">
        <f>INPUT!BF26</f>
        <v>-2.330866368538409E-05</v>
      </c>
      <c r="D316" s="191">
        <f>INPUT!BG26</f>
        <v>-34.7103241229197</v>
      </c>
      <c r="E316" s="191">
        <f>INPUT!BM26</f>
        <v>-16.412485402193852</v>
      </c>
      <c r="F316" s="191">
        <f>INPUT!BN26</f>
        <v>-8.999003956472734</v>
      </c>
      <c r="G316" s="191">
        <f>1.25*(B316+C316)</f>
        <v>-14.027027201940143</v>
      </c>
      <c r="H316" s="191">
        <f>1.25*D316</f>
        <v>-43.387905153649626</v>
      </c>
      <c r="I316" s="286">
        <f>1.25*E316+1.5*F316</f>
        <v>-34.014112687451416</v>
      </c>
      <c r="J316" s="4"/>
      <c r="K316" s="4"/>
      <c r="L316" s="207"/>
      <c r="M316" s="4"/>
      <c r="N316" s="4"/>
    </row>
    <row r="317">
      <c r="A317" s="187">
        <f>A223</f>
        <v>101</v>
      </c>
      <c r="B317" s="191">
        <f>INPUT!BE27</f>
        <v>-11.221598452888429</v>
      </c>
      <c r="C317" s="191">
        <f>INPUT!BF27</f>
        <v>-2.330866368538409E-05</v>
      </c>
      <c r="D317" s="191">
        <f>INPUT!BG27</f>
        <v>-34.7103241229197</v>
      </c>
      <c r="E317" s="191">
        <f>INPUT!BM27</f>
        <v>-16.412485402193852</v>
      </c>
      <c r="F317" s="191">
        <f>INPUT!BN27</f>
        <v>-8.999003956472734</v>
      </c>
      <c r="G317" s="191">
        <f>1.25*(B317+C317)</f>
        <v>-14.027027201940143</v>
      </c>
      <c r="H317" s="191">
        <f>1.25*D317</f>
        <v>-43.387905153649626</v>
      </c>
      <c r="I317" s="286">
        <f>1.25*E317+1.5*F317</f>
        <v>-34.014112687451416</v>
      </c>
      <c r="J317" s="4"/>
      <c r="K317" s="4"/>
      <c r="L317" s="207"/>
      <c r="M317" s="4"/>
      <c r="N317" s="4"/>
    </row>
    <row r="318">
      <c r="A318" s="187">
        <f>A224</f>
        <v>101</v>
      </c>
      <c r="B318" s="191">
        <f>INPUT!BE28</f>
        <v>-11.221598452888429</v>
      </c>
      <c r="C318" s="191">
        <f>INPUT!BF28</f>
        <v>-2.330866368538409E-05</v>
      </c>
      <c r="D318" s="191">
        <f>INPUT!BG28</f>
        <v>-34.7103241229197</v>
      </c>
      <c r="E318" s="191">
        <f>INPUT!BM28</f>
        <v>-16.412485402193852</v>
      </c>
      <c r="F318" s="191">
        <f>INPUT!BN28</f>
        <v>-8.999003956472734</v>
      </c>
      <c r="G318" s="191">
        <f>1.25*(B318+C318)</f>
        <v>-14.027027201940143</v>
      </c>
      <c r="H318" s="191">
        <f>1.25*D318</f>
        <v>-43.387905153649626</v>
      </c>
      <c r="I318" s="286">
        <f>1.25*E318+1.5*F318</f>
        <v>-34.014112687451416</v>
      </c>
      <c r="J318" s="4"/>
      <c r="K318" s="4"/>
      <c r="L318" s="207"/>
      <c r="M318" s="4"/>
      <c r="N318" s="4"/>
    </row>
    <row r="319">
      <c r="A319" s="187">
        <f>A225</f>
        <v>101</v>
      </c>
      <c r="B319" s="191">
        <f>INPUT!BE29</f>
        <v>-11.221598452888429</v>
      </c>
      <c r="C319" s="191">
        <f>INPUT!BF29</f>
        <v>-2.330866368538409E-05</v>
      </c>
      <c r="D319" s="191">
        <f>INPUT!BG29</f>
        <v>-34.7103241229197</v>
      </c>
      <c r="E319" s="191">
        <f>INPUT!BM29</f>
        <v>-16.412485402193852</v>
      </c>
      <c r="F319" s="191">
        <f>INPUT!BN29</f>
        <v>-8.999003956472734</v>
      </c>
      <c r="G319" s="191">
        <f>1.25*(B319+C319)</f>
        <v>-14.027027201940143</v>
      </c>
      <c r="H319" s="191">
        <f>1.25*D319</f>
        <v>-43.387905153649626</v>
      </c>
      <c r="I319" s="286">
        <f>1.25*E319+1.5*F319</f>
        <v>-34.014112687451416</v>
      </c>
      <c r="J319" s="4"/>
      <c r="K319" s="4"/>
      <c r="L319" s="207"/>
      <c r="M319" s="4"/>
      <c r="N319" s="4"/>
    </row>
    <row r="320">
      <c r="A320" s="187">
        <f>A226</f>
        <v>101</v>
      </c>
      <c r="B320" s="191">
        <f>INPUT!BE30</f>
        <v>-11.221598452888429</v>
      </c>
      <c r="C320" s="191">
        <f>INPUT!BF30</f>
        <v>-2.330866368538409E-05</v>
      </c>
      <c r="D320" s="191">
        <f>INPUT!BG30</f>
        <v>-34.7103241229197</v>
      </c>
      <c r="E320" s="191">
        <f>INPUT!BM30</f>
        <v>-16.412485402193852</v>
      </c>
      <c r="F320" s="191">
        <f>INPUT!BN30</f>
        <v>-8.999003956472734</v>
      </c>
      <c r="G320" s="191">
        <f>1.25*(B320+C320)</f>
        <v>-14.027027201940143</v>
      </c>
      <c r="H320" s="191">
        <f>1.25*D320</f>
        <v>-43.387905153649626</v>
      </c>
      <c r="I320" s="286">
        <f>1.25*E320+1.5*F320</f>
        <v>-34.014112687451416</v>
      </c>
      <c r="J320" s="4"/>
      <c r="K320" s="4"/>
      <c r="L320" s="207"/>
      <c r="M320" s="4"/>
      <c r="N320" s="4"/>
    </row>
    <row r="321">
      <c r="A321" s="187">
        <f>A227</f>
        <v>101</v>
      </c>
      <c r="B321" s="191">
        <f>INPUT!BE31</f>
        <v>-11.221598452888429</v>
      </c>
      <c r="C321" s="191">
        <f>INPUT!BF31</f>
        <v>-2.330866368538409E-05</v>
      </c>
      <c r="D321" s="191">
        <f>INPUT!BG31</f>
        <v>-34.7103241229197</v>
      </c>
      <c r="E321" s="191">
        <f>INPUT!BM31</f>
        <v>-16.412485402193852</v>
      </c>
      <c r="F321" s="191">
        <f>INPUT!BN31</f>
        <v>-8.999003956472734</v>
      </c>
      <c r="G321" s="191">
        <f>1.25*(B321+C321)</f>
        <v>-14.027027201940143</v>
      </c>
      <c r="H321" s="191">
        <f>1.25*D321</f>
        <v>-43.387905153649626</v>
      </c>
      <c r="I321" s="286">
        <f>1.25*E321+1.5*F321</f>
        <v>-34.014112687451416</v>
      </c>
      <c r="J321" s="4"/>
      <c r="K321" s="4"/>
      <c r="L321" s="207"/>
      <c r="M321" s="4"/>
      <c r="N321" s="4"/>
    </row>
    <row r="322">
      <c r="A322" s="187">
        <f>A228</f>
        <v>101</v>
      </c>
      <c r="B322" s="191">
        <f>INPUT!BE32</f>
        <v>-11.221598452888429</v>
      </c>
      <c r="C322" s="191">
        <f>INPUT!BF32</f>
        <v>-2.330866368538409E-05</v>
      </c>
      <c r="D322" s="191">
        <f>INPUT!BG32</f>
        <v>-34.7103241229197</v>
      </c>
      <c r="E322" s="191">
        <f>INPUT!BM32</f>
        <v>-16.412485402193852</v>
      </c>
      <c r="F322" s="191">
        <f>INPUT!BN32</f>
        <v>-8.999003956472734</v>
      </c>
      <c r="G322" s="191">
        <f>1.25*(B322+C322)</f>
        <v>-14.027027201940143</v>
      </c>
      <c r="H322" s="191">
        <f>1.25*D322</f>
        <v>-43.387905153649626</v>
      </c>
      <c r="I322" s="286">
        <f>1.25*E322+1.5*F322</f>
        <v>-34.014112687451416</v>
      </c>
      <c r="J322" s="4"/>
      <c r="K322" s="4"/>
      <c r="L322" s="207"/>
      <c r="M322" s="4"/>
      <c r="N322" s="4"/>
    </row>
    <row r="323">
      <c r="A323" s="187">
        <f>A229</f>
        <v>101</v>
      </c>
      <c r="B323" s="191">
        <f>INPUT!BE33</f>
        <v>-11.221598452888429</v>
      </c>
      <c r="C323" s="191">
        <f>INPUT!BF33</f>
        <v>-2.330866368538409E-05</v>
      </c>
      <c r="D323" s="191">
        <f>INPUT!BG33</f>
        <v>-34.7103241229197</v>
      </c>
      <c r="E323" s="191">
        <f>INPUT!BM33</f>
        <v>-16.412485402193852</v>
      </c>
      <c r="F323" s="191">
        <f>INPUT!BN33</f>
        <v>-8.999003956472734</v>
      </c>
      <c r="G323" s="191">
        <f>1.25*(B323+C323)</f>
        <v>-14.027027201940143</v>
      </c>
      <c r="H323" s="191">
        <f>1.25*D323</f>
        <v>-43.387905153649626</v>
      </c>
      <c r="I323" s="286">
        <f>1.25*E323+1.5*F323</f>
        <v>-34.014112687451416</v>
      </c>
      <c r="J323" s="4"/>
      <c r="K323" s="4"/>
      <c r="L323" s="207"/>
      <c r="M323" s="4"/>
      <c r="N323" s="4"/>
    </row>
    <row r="324">
      <c r="A324" s="187">
        <f>A230</f>
        <v>101</v>
      </c>
      <c r="B324" s="191">
        <f>INPUT!BE34</f>
        <v>-11.221598452888429</v>
      </c>
      <c r="C324" s="191">
        <f>INPUT!BF34</f>
        <v>-2.330866368538409E-05</v>
      </c>
      <c r="D324" s="191">
        <f>INPUT!BG34</f>
        <v>-34.7103241229197</v>
      </c>
      <c r="E324" s="191">
        <f>INPUT!BM34</f>
        <v>-16.412485402193852</v>
      </c>
      <c r="F324" s="191">
        <f>INPUT!BN34</f>
        <v>-8.999003956472734</v>
      </c>
      <c r="G324" s="191">
        <f>1.25*(B324+C324)</f>
        <v>-14.027027201940143</v>
      </c>
      <c r="H324" s="191">
        <f>1.25*D324</f>
        <v>-43.387905153649626</v>
      </c>
      <c r="I324" s="286">
        <f>1.25*E324+1.5*F324</f>
        <v>-34.014112687451416</v>
      </c>
      <c r="J324" s="4"/>
      <c r="K324" s="4"/>
      <c r="L324" s="207"/>
      <c r="M324" s="4"/>
      <c r="N324" s="4"/>
    </row>
    <row r="325">
      <c r="A325" s="187">
        <f>A231</f>
        <v>101</v>
      </c>
      <c r="B325" s="191">
        <f>INPUT!BE35</f>
        <v>-11.221598452888429</v>
      </c>
      <c r="C325" s="191">
        <f>INPUT!BF35</f>
        <v>-2.330866368538409E-05</v>
      </c>
      <c r="D325" s="191">
        <f>INPUT!BG35</f>
        <v>-34.7103241229197</v>
      </c>
      <c r="E325" s="191">
        <f>INPUT!BM35</f>
        <v>-16.412485402193852</v>
      </c>
      <c r="F325" s="191">
        <f>INPUT!BN35</f>
        <v>-8.999003956472734</v>
      </c>
      <c r="G325" s="191">
        <f>1.25*(B325+C325)</f>
        <v>-14.027027201940143</v>
      </c>
      <c r="H325" s="191">
        <f>1.25*D325</f>
        <v>-43.387905153649626</v>
      </c>
      <c r="I325" s="286">
        <f>1.25*E325+1.5*F325</f>
        <v>-34.014112687451416</v>
      </c>
      <c r="J325" s="4"/>
      <c r="K325" s="4"/>
      <c r="L325" s="207"/>
      <c r="M325" s="4"/>
      <c r="N325" s="4"/>
    </row>
    <row r="326">
      <c r="A326" s="187">
        <f>A232</f>
        <v>101</v>
      </c>
      <c r="B326" s="191">
        <f>INPUT!BE36</f>
        <v>-11.221598452888429</v>
      </c>
      <c r="C326" s="191">
        <f>INPUT!BF36</f>
        <v>-2.330866368538409E-05</v>
      </c>
      <c r="D326" s="191">
        <f>INPUT!BG36</f>
        <v>-34.7103241229197</v>
      </c>
      <c r="E326" s="191">
        <f>INPUT!BM36</f>
        <v>-16.412485402193852</v>
      </c>
      <c r="F326" s="191">
        <f>INPUT!BN36</f>
        <v>-8.999003956472734</v>
      </c>
      <c r="G326" s="191">
        <f>1.25*(B326+C326)</f>
        <v>-14.027027201940143</v>
      </c>
      <c r="H326" s="191">
        <f>1.25*D326</f>
        <v>-43.387905153649626</v>
      </c>
      <c r="I326" s="286">
        <f>1.25*E326+1.5*F326</f>
        <v>-34.014112687451416</v>
      </c>
      <c r="J326" s="4"/>
      <c r="K326" s="4"/>
      <c r="L326" s="207"/>
      <c r="M326" s="4"/>
      <c r="N326" s="4"/>
    </row>
    <row r="327">
      <c r="A327" s="187">
        <f>A233</f>
        <v>101</v>
      </c>
      <c r="B327" s="191">
        <f>INPUT!BE37</f>
        <v>-11.221598452888429</v>
      </c>
      <c r="C327" s="191">
        <f>INPUT!BF37</f>
        <v>-2.330866368538409E-05</v>
      </c>
      <c r="D327" s="191">
        <f>INPUT!BG37</f>
        <v>-34.7103241229197</v>
      </c>
      <c r="E327" s="191">
        <f>INPUT!BM37</f>
        <v>-16.412485402193852</v>
      </c>
      <c r="F327" s="191">
        <f>INPUT!BN37</f>
        <v>-8.999003956472734</v>
      </c>
      <c r="G327" s="191">
        <f>1.25*(B327+C327)</f>
        <v>-14.027027201940143</v>
      </c>
      <c r="H327" s="191">
        <f>1.25*D327</f>
        <v>-43.387905153649626</v>
      </c>
      <c r="I327" s="286">
        <f>1.25*E327+1.5*F327</f>
        <v>-34.014112687451416</v>
      </c>
      <c r="J327" s="4"/>
      <c r="K327" s="4"/>
      <c r="L327" s="207"/>
      <c r="M327" s="4"/>
      <c r="N327" s="4"/>
    </row>
    <row r="328">
      <c r="A328" s="187">
        <f>A234</f>
        <v>101</v>
      </c>
      <c r="B328" s="191">
        <f>INPUT!BE38</f>
        <v>-11.221598452888429</v>
      </c>
      <c r="C328" s="191">
        <f>INPUT!BF38</f>
        <v>-2.330866368538409E-05</v>
      </c>
      <c r="D328" s="191">
        <f>INPUT!BG38</f>
        <v>-34.7103241229197</v>
      </c>
      <c r="E328" s="191">
        <f>INPUT!BM38</f>
        <v>-16.412485402193852</v>
      </c>
      <c r="F328" s="191">
        <f>INPUT!BN38</f>
        <v>-8.999003956472734</v>
      </c>
      <c r="G328" s="191">
        <f>1.25*(B328+C328)</f>
        <v>-14.027027201940143</v>
      </c>
      <c r="H328" s="191">
        <f>1.25*D328</f>
        <v>-43.387905153649626</v>
      </c>
      <c r="I328" s="286">
        <f>1.25*E328+1.5*F328</f>
        <v>-34.014112687451416</v>
      </c>
      <c r="J328" s="4"/>
      <c r="K328" s="4"/>
      <c r="L328" s="207"/>
      <c r="M328" s="4"/>
      <c r="N328" s="4"/>
    </row>
    <row r="329">
      <c r="A329" s="187">
        <f>A235</f>
        <v>101</v>
      </c>
      <c r="B329" s="191">
        <f>INPUT!BE39</f>
        <v>-11.221598452888429</v>
      </c>
      <c r="C329" s="191">
        <f>INPUT!BF39</f>
        <v>-2.330866368538409E-05</v>
      </c>
      <c r="D329" s="191">
        <f>INPUT!BG39</f>
        <v>-34.7103241229197</v>
      </c>
      <c r="E329" s="191">
        <f>INPUT!BM39</f>
        <v>-16.412485402193852</v>
      </c>
      <c r="F329" s="191">
        <f>INPUT!BN39</f>
        <v>-8.999003956472734</v>
      </c>
      <c r="G329" s="191">
        <f>1.25*(B329+C329)</f>
        <v>-14.027027201940143</v>
      </c>
      <c r="H329" s="191">
        <f>1.25*D329</f>
        <v>-43.387905153649626</v>
      </c>
      <c r="I329" s="286">
        <f>1.25*E329+1.5*F329</f>
        <v>-34.014112687451416</v>
      </c>
      <c r="J329" s="4"/>
      <c r="K329" s="4"/>
      <c r="L329" s="207"/>
      <c r="M329" s="4"/>
      <c r="N329" s="4"/>
    </row>
    <row r="330">
      <c r="A330" s="187">
        <f>A236</f>
        <v>101</v>
      </c>
      <c r="B330" s="191">
        <f>INPUT!BE40</f>
        <v>-11.221598452888429</v>
      </c>
      <c r="C330" s="191">
        <f>INPUT!BF40</f>
        <v>-2.330866368538409E-05</v>
      </c>
      <c r="D330" s="191">
        <f>INPUT!BG40</f>
        <v>-34.7103241229197</v>
      </c>
      <c r="E330" s="191">
        <f>INPUT!BM40</f>
        <v>-16.412485402193852</v>
      </c>
      <c r="F330" s="191">
        <f>INPUT!BN40</f>
        <v>-8.999003956472734</v>
      </c>
      <c r="G330" s="191">
        <f>1.25*(B330+C330)</f>
        <v>-14.027027201940143</v>
      </c>
      <c r="H330" s="191">
        <f>1.25*D330</f>
        <v>-43.387905153649626</v>
      </c>
      <c r="I330" s="286">
        <f>1.25*E330+1.5*F330</f>
        <v>-34.014112687451416</v>
      </c>
      <c r="J330" s="4"/>
      <c r="K330" s="4"/>
      <c r="L330" s="207"/>
      <c r="M330" s="4"/>
      <c r="N330" s="4"/>
    </row>
    <row r="331">
      <c r="A331" s="187">
        <f>A237</f>
        <v>101</v>
      </c>
      <c r="B331" s="191">
        <f>INPUT!BE41</f>
        <v>-11.221598452888429</v>
      </c>
      <c r="C331" s="191">
        <f>INPUT!BF41</f>
        <v>-2.330866368538409E-05</v>
      </c>
      <c r="D331" s="191">
        <f>INPUT!BG41</f>
        <v>-34.7103241229197</v>
      </c>
      <c r="E331" s="191">
        <f>INPUT!BM41</f>
        <v>-16.412485402193852</v>
      </c>
      <c r="F331" s="191">
        <f>INPUT!BN41</f>
        <v>-8.999003956472734</v>
      </c>
      <c r="G331" s="191">
        <f>1.25*(B331+C331)</f>
        <v>-14.027027201940143</v>
      </c>
      <c r="H331" s="191">
        <f>1.25*D331</f>
        <v>-43.387905153649626</v>
      </c>
      <c r="I331" s="286">
        <f>1.25*E331+1.5*F331</f>
        <v>-34.014112687451416</v>
      </c>
      <c r="J331" s="4"/>
      <c r="K331" s="4"/>
      <c r="L331" s="207"/>
      <c r="M331" s="4"/>
      <c r="N331" s="4"/>
    </row>
    <row r="332">
      <c r="A332" s="187">
        <f>A238</f>
        <v>101</v>
      </c>
      <c r="B332" s="191">
        <f>INPUT!BE42</f>
        <v>-11.221598452888429</v>
      </c>
      <c r="C332" s="191">
        <f>INPUT!BF42</f>
        <v>-2.330866368538409E-05</v>
      </c>
      <c r="D332" s="191">
        <f>INPUT!BG42</f>
        <v>-34.7103241229197</v>
      </c>
      <c r="E332" s="191">
        <f>INPUT!BM42</f>
        <v>-16.412485402193852</v>
      </c>
      <c r="F332" s="191">
        <f>INPUT!BN42</f>
        <v>-8.999003956472734</v>
      </c>
      <c r="G332" s="191">
        <f>1.25*(B332+C332)</f>
        <v>-14.027027201940143</v>
      </c>
      <c r="H332" s="191">
        <f>1.25*D332</f>
        <v>-43.387905153649626</v>
      </c>
      <c r="I332" s="286">
        <f>1.25*E332+1.5*F332</f>
        <v>-34.014112687451416</v>
      </c>
      <c r="J332" s="4"/>
      <c r="K332" s="4"/>
      <c r="L332" s="207"/>
      <c r="M332" s="4"/>
      <c r="N332" s="4"/>
    </row>
    <row r="333">
      <c r="A333" s="187">
        <f>A239</f>
        <v>101</v>
      </c>
      <c r="B333" s="191">
        <f>INPUT!BE43</f>
        <v>-11.221598452888429</v>
      </c>
      <c r="C333" s="191">
        <f>INPUT!BF43</f>
        <v>-2.330866368538409E-05</v>
      </c>
      <c r="D333" s="191">
        <f>INPUT!BG43</f>
        <v>-34.7103241229197</v>
      </c>
      <c r="E333" s="191">
        <f>INPUT!BM43</f>
        <v>-16.412485402193852</v>
      </c>
      <c r="F333" s="191">
        <f>INPUT!BN43</f>
        <v>-8.999003956472734</v>
      </c>
      <c r="G333" s="191">
        <f>1.25*(B333+C333)</f>
        <v>-14.027027201940143</v>
      </c>
      <c r="H333" s="191">
        <f>1.25*D333</f>
        <v>-43.387905153649626</v>
      </c>
      <c r="I333" s="286">
        <f>1.25*E333+1.5*F333</f>
        <v>-34.014112687451416</v>
      </c>
      <c r="J333" s="4"/>
      <c r="K333" s="4"/>
      <c r="L333" s="207"/>
      <c r="M333" s="4"/>
      <c r="N333" s="4"/>
    </row>
    <row r="334">
      <c r="A334" s="187">
        <f>A240</f>
        <v>101</v>
      </c>
      <c r="B334" s="191">
        <f>INPUT!BE44</f>
        <v>-11.221598452888429</v>
      </c>
      <c r="C334" s="191">
        <f>INPUT!BF44</f>
        <v>-2.330866368538409E-05</v>
      </c>
      <c r="D334" s="191">
        <f>INPUT!BG44</f>
        <v>-34.7103241229197</v>
      </c>
      <c r="E334" s="191">
        <f>INPUT!BM44</f>
        <v>-16.412485402193852</v>
      </c>
      <c r="F334" s="191">
        <f>INPUT!BN44</f>
        <v>-8.999003956472734</v>
      </c>
      <c r="G334" s="191">
        <f>1.25*(B334+C334)</f>
        <v>-14.027027201940143</v>
      </c>
      <c r="H334" s="191">
        <f>1.25*D334</f>
        <v>-43.387905153649626</v>
      </c>
      <c r="I334" s="286">
        <f>1.25*E334+1.5*F334</f>
        <v>-34.014112687451416</v>
      </c>
      <c r="J334" s="4"/>
      <c r="K334" s="4"/>
      <c r="L334" s="207"/>
      <c r="M334" s="4"/>
      <c r="N334" s="4"/>
    </row>
    <row r="335">
      <c r="A335" s="187">
        <f>A241</f>
        <v>101</v>
      </c>
      <c r="B335" s="191">
        <f>INPUT!BE45</f>
        <v>-11.221598452888429</v>
      </c>
      <c r="C335" s="191">
        <f>INPUT!BF45</f>
        <v>-2.330866368538409E-05</v>
      </c>
      <c r="D335" s="191">
        <f>INPUT!BG45</f>
        <v>-34.7103241229197</v>
      </c>
      <c r="E335" s="191">
        <f>INPUT!BM45</f>
        <v>-16.412485402193852</v>
      </c>
      <c r="F335" s="191">
        <f>INPUT!BN45</f>
        <v>-8.999003956472734</v>
      </c>
      <c r="G335" s="191">
        <f>1.25*(B335+C335)</f>
        <v>-14.027027201940143</v>
      </c>
      <c r="H335" s="191">
        <f>1.25*D335</f>
        <v>-43.387905153649626</v>
      </c>
      <c r="I335" s="286">
        <f>1.25*E335+1.5*F335</f>
        <v>-34.014112687451416</v>
      </c>
      <c r="J335" s="4"/>
      <c r="K335" s="4"/>
      <c r="L335" s="207"/>
      <c r="M335" s="4"/>
      <c r="N335" s="4"/>
    </row>
    <row r="336">
      <c r="A336" s="187">
        <f>A242</f>
        <v>101</v>
      </c>
      <c r="B336" s="191">
        <f>INPUT!BE46</f>
        <v>-11.221598452888429</v>
      </c>
      <c r="C336" s="191">
        <f>INPUT!BF46</f>
        <v>-2.330866368538409E-05</v>
      </c>
      <c r="D336" s="191">
        <f>INPUT!BG46</f>
        <v>-34.7103241229197</v>
      </c>
      <c r="E336" s="191">
        <f>INPUT!BM46</f>
        <v>-16.412485402193852</v>
      </c>
      <c r="F336" s="191">
        <f>INPUT!BN46</f>
        <v>-8.999003956472734</v>
      </c>
      <c r="G336" s="191">
        <f>1.25*(B336+C336)</f>
        <v>-14.027027201940143</v>
      </c>
      <c r="H336" s="191">
        <f>1.25*D336</f>
        <v>-43.387905153649626</v>
      </c>
      <c r="I336" s="286">
        <f>1.25*E336+1.5*F336</f>
        <v>-34.014112687451416</v>
      </c>
      <c r="J336" s="4"/>
      <c r="K336" s="4"/>
      <c r="L336" s="207"/>
      <c r="M336" s="4"/>
      <c r="N336" s="4"/>
    </row>
    <row r="337">
      <c r="A337" s="187">
        <f>A243</f>
        <v>101</v>
      </c>
      <c r="B337" s="191">
        <f>INPUT!BE47</f>
        <v>-11.221598452888429</v>
      </c>
      <c r="C337" s="191">
        <f>INPUT!BF47</f>
        <v>-2.330866368538409E-05</v>
      </c>
      <c r="D337" s="191">
        <f>INPUT!BG47</f>
        <v>-34.7103241229197</v>
      </c>
      <c r="E337" s="191">
        <f>INPUT!BM47</f>
        <v>-16.412485402193852</v>
      </c>
      <c r="F337" s="191">
        <f>INPUT!BN47</f>
        <v>-8.999003956472734</v>
      </c>
      <c r="G337" s="191">
        <f>1.25*(B337+C337)</f>
        <v>-14.027027201940143</v>
      </c>
      <c r="H337" s="191">
        <f>1.25*D337</f>
        <v>-43.387905153649626</v>
      </c>
      <c r="I337" s="286">
        <f>1.25*E337+1.5*F337</f>
        <v>-34.014112687451416</v>
      </c>
      <c r="J337" s="4"/>
      <c r="K337" s="4"/>
      <c r="L337" s="207"/>
      <c r="M337" s="4"/>
      <c r="N337" s="4"/>
    </row>
    <row r="338">
      <c r="A338" s="187">
        <f>A244</f>
        <v>101</v>
      </c>
      <c r="B338" s="191">
        <f>INPUT!BE48</f>
        <v>-11.221598452888429</v>
      </c>
      <c r="C338" s="191">
        <f>INPUT!BF48</f>
        <v>-2.330866368538409E-05</v>
      </c>
      <c r="D338" s="191">
        <f>INPUT!BG48</f>
        <v>-34.7103241229197</v>
      </c>
      <c r="E338" s="191">
        <f>INPUT!BM48</f>
        <v>-16.412485402193852</v>
      </c>
      <c r="F338" s="191">
        <f>INPUT!BN48</f>
        <v>-8.999003956472734</v>
      </c>
      <c r="G338" s="191">
        <f>1.25*(B338+C338)</f>
        <v>-14.027027201940143</v>
      </c>
      <c r="H338" s="191">
        <f>1.25*D338</f>
        <v>-43.387905153649626</v>
      </c>
      <c r="I338" s="286">
        <f>1.25*E338+1.5*F338</f>
        <v>-34.014112687451416</v>
      </c>
      <c r="J338" s="4"/>
      <c r="K338" s="4"/>
      <c r="L338" s="207"/>
      <c r="M338" s="4"/>
      <c r="N338" s="4"/>
    </row>
    <row r="339">
      <c r="A339" s="187">
        <f>A245</f>
        <v>101</v>
      </c>
      <c r="B339" s="191">
        <f>INPUT!BE49</f>
        <v>-11.221598452888429</v>
      </c>
      <c r="C339" s="191">
        <f>INPUT!BF49</f>
        <v>-2.330866368538409E-05</v>
      </c>
      <c r="D339" s="191">
        <f>INPUT!BG49</f>
        <v>-34.7103241229197</v>
      </c>
      <c r="E339" s="191">
        <f>INPUT!BM49</f>
        <v>-16.412485402193852</v>
      </c>
      <c r="F339" s="191">
        <f>INPUT!BN49</f>
        <v>-8.999003956472734</v>
      </c>
      <c r="G339" s="191">
        <f>1.25*(B339+C339)</f>
        <v>-14.027027201940143</v>
      </c>
      <c r="H339" s="191">
        <f>1.25*D339</f>
        <v>-43.387905153649626</v>
      </c>
      <c r="I339" s="286">
        <f>1.25*E339+1.5*F339</f>
        <v>-34.014112687451416</v>
      </c>
      <c r="J339" s="4"/>
      <c r="K339" s="4"/>
      <c r="L339" s="207"/>
      <c r="M339" s="4"/>
      <c r="N339" s="4"/>
    </row>
    <row r="340">
      <c r="A340" s="187">
        <f>A246</f>
        <v>101</v>
      </c>
      <c r="B340" s="191">
        <f>INPUT!BE50</f>
        <v>-11.221598452888429</v>
      </c>
      <c r="C340" s="191">
        <f>INPUT!BF50</f>
        <v>-2.330866368538409E-05</v>
      </c>
      <c r="D340" s="191">
        <f>INPUT!BG50</f>
        <v>-34.7103241229197</v>
      </c>
      <c r="E340" s="191">
        <f>INPUT!BM50</f>
        <v>-16.412485402193852</v>
      </c>
      <c r="F340" s="191">
        <f>INPUT!BN50</f>
        <v>-8.999003956472734</v>
      </c>
      <c r="G340" s="191">
        <f>1.25*(B340+C340)</f>
        <v>-14.027027201940143</v>
      </c>
      <c r="H340" s="191">
        <f>1.25*D340</f>
        <v>-43.387905153649626</v>
      </c>
      <c r="I340" s="286">
        <f>1.25*E340+1.5*F340</f>
        <v>-34.014112687451416</v>
      </c>
      <c r="J340" s="4"/>
      <c r="K340" s="4"/>
      <c r="L340" s="207"/>
      <c r="M340" s="4"/>
      <c r="N340" s="4"/>
    </row>
    <row r="341">
      <c r="A341" s="187">
        <f>A247</f>
        <v>101</v>
      </c>
      <c r="B341" s="191">
        <f>INPUT!BE51</f>
        <v>-11.221598452888429</v>
      </c>
      <c r="C341" s="191">
        <f>INPUT!BF51</f>
        <v>-2.330866368538409E-05</v>
      </c>
      <c r="D341" s="191">
        <f>INPUT!BG51</f>
        <v>-34.7103241229197</v>
      </c>
      <c r="E341" s="191">
        <f>INPUT!BM51</f>
        <v>-16.412485402193852</v>
      </c>
      <c r="F341" s="191">
        <f>INPUT!BN51</f>
        <v>-8.999003956472734</v>
      </c>
      <c r="G341" s="191">
        <f>1.25*(B341+C341)</f>
        <v>-14.027027201940143</v>
      </c>
      <c r="H341" s="191">
        <f>1.25*D341</f>
        <v>-43.387905153649626</v>
      </c>
      <c r="I341" s="286">
        <f>1.25*E341+1.5*F341</f>
        <v>-34.014112687451416</v>
      </c>
      <c r="J341" s="4"/>
      <c r="K341" s="4"/>
      <c r="L341" s="207"/>
      <c r="M341" s="4"/>
      <c r="N341" s="4"/>
    </row>
    <row r="342">
      <c r="A342" s="187">
        <f>A248</f>
        <v>101</v>
      </c>
      <c r="B342" s="191">
        <f>INPUT!BE52</f>
        <v>-11.221598452888429</v>
      </c>
      <c r="C342" s="191">
        <f>INPUT!BF52</f>
        <v>-2.330866368538409E-05</v>
      </c>
      <c r="D342" s="191">
        <f>INPUT!BG52</f>
        <v>-34.7103241229197</v>
      </c>
      <c r="E342" s="191">
        <f>INPUT!BM52</f>
        <v>-16.412485402193852</v>
      </c>
      <c r="F342" s="191">
        <f>INPUT!BN52</f>
        <v>-8.999003956472734</v>
      </c>
      <c r="G342" s="191">
        <f>1.25*(B342+C342)</f>
        <v>-14.027027201940143</v>
      </c>
      <c r="H342" s="191">
        <f>1.25*D342</f>
        <v>-43.387905153649626</v>
      </c>
      <c r="I342" s="286">
        <f>1.25*E342+1.5*F342</f>
        <v>-34.014112687451416</v>
      </c>
      <c r="J342" s="4"/>
      <c r="K342" s="4"/>
      <c r="L342" s="207"/>
      <c r="M342" s="4"/>
      <c r="N342" s="4"/>
    </row>
    <row r="343">
      <c r="A343" s="187">
        <f>A249</f>
        <v>101</v>
      </c>
      <c r="B343" s="191">
        <f>INPUT!BE53</f>
        <v>-11.221598452888429</v>
      </c>
      <c r="C343" s="191">
        <f>INPUT!BF53</f>
        <v>-2.330866368538409E-05</v>
      </c>
      <c r="D343" s="191">
        <f>INPUT!BG53</f>
        <v>-34.7103241229197</v>
      </c>
      <c r="E343" s="191">
        <f>INPUT!BM53</f>
        <v>-16.412485402193852</v>
      </c>
      <c r="F343" s="191">
        <f>INPUT!BN53</f>
        <v>-8.999003956472734</v>
      </c>
      <c r="G343" s="191">
        <f>1.25*(B343+C343)</f>
        <v>-14.027027201940143</v>
      </c>
      <c r="H343" s="191">
        <f>1.25*D343</f>
        <v>-43.387905153649626</v>
      </c>
      <c r="I343" s="286">
        <f>1.25*E343+1.5*F343</f>
        <v>-34.014112687451416</v>
      </c>
      <c r="J343" s="4"/>
      <c r="K343" s="4"/>
      <c r="L343" s="207"/>
      <c r="M343" s="4"/>
      <c r="N343" s="4"/>
    </row>
    <row r="344">
      <c r="A344" s="187">
        <f>A250</f>
        <v>101</v>
      </c>
      <c r="B344" s="191">
        <f>INPUT!BE54</f>
        <v>-11.221598452888429</v>
      </c>
      <c r="C344" s="191">
        <f>INPUT!BF54</f>
        <v>-2.330866368538409E-05</v>
      </c>
      <c r="D344" s="191">
        <f>INPUT!BG54</f>
        <v>-34.7103241229197</v>
      </c>
      <c r="E344" s="191">
        <f>INPUT!BM54</f>
        <v>-16.412485402193852</v>
      </c>
      <c r="F344" s="191">
        <f>INPUT!BN54</f>
        <v>-8.999003956472734</v>
      </c>
      <c r="G344" s="191">
        <f>1.25*(B344+C344)</f>
        <v>-14.027027201940143</v>
      </c>
      <c r="H344" s="191">
        <f>1.25*D344</f>
        <v>-43.387905153649626</v>
      </c>
      <c r="I344" s="286">
        <f>1.25*E344+1.5*F344</f>
        <v>-34.014112687451416</v>
      </c>
      <c r="J344" s="4"/>
      <c r="K344" s="4"/>
      <c r="L344" s="207"/>
      <c r="M344" s="4"/>
      <c r="N344" s="4"/>
    </row>
    <row r="345">
      <c r="A345" s="187">
        <f>A251</f>
        <v>101</v>
      </c>
      <c r="B345" s="191">
        <f>INPUT!BE55</f>
        <v>-11.221598452888429</v>
      </c>
      <c r="C345" s="191">
        <f>INPUT!BF55</f>
        <v>-2.330866368538409E-05</v>
      </c>
      <c r="D345" s="191">
        <f>INPUT!BG55</f>
        <v>-34.7103241229197</v>
      </c>
      <c r="E345" s="191">
        <f>INPUT!BM55</f>
        <v>-16.412485402193852</v>
      </c>
      <c r="F345" s="191">
        <f>INPUT!BN55</f>
        <v>-8.999003956472734</v>
      </c>
      <c r="G345" s="191">
        <f>1.25*(B345+C345)</f>
        <v>-14.027027201940143</v>
      </c>
      <c r="H345" s="191">
        <f>1.25*D345</f>
        <v>-43.387905153649626</v>
      </c>
      <c r="I345" s="286">
        <f>1.25*E345+1.5*F345</f>
        <v>-34.014112687451416</v>
      </c>
      <c r="J345" s="4"/>
      <c r="K345" s="4"/>
      <c r="L345" s="207"/>
      <c r="M345" s="4"/>
      <c r="N345" s="4"/>
    </row>
    <row r="346">
      <c r="A346" s="187">
        <f>A252</f>
        <v>101</v>
      </c>
      <c r="B346" s="191">
        <f>INPUT!BE56</f>
        <v>-11.221598452888429</v>
      </c>
      <c r="C346" s="191">
        <f>INPUT!BF56</f>
        <v>-2.330866368538409E-05</v>
      </c>
      <c r="D346" s="191">
        <f>INPUT!BG56</f>
        <v>-34.7103241229197</v>
      </c>
      <c r="E346" s="191">
        <f>INPUT!BM56</f>
        <v>-16.412485402193852</v>
      </c>
      <c r="F346" s="191">
        <f>INPUT!BN56</f>
        <v>-8.999003956472734</v>
      </c>
      <c r="G346" s="191">
        <f>1.25*(B346+C346)</f>
        <v>-14.027027201940143</v>
      </c>
      <c r="H346" s="191">
        <f>1.25*D346</f>
        <v>-43.387905153649626</v>
      </c>
      <c r="I346" s="286">
        <f>1.25*E346+1.5*F346</f>
        <v>-34.014112687451416</v>
      </c>
      <c r="J346" s="4"/>
      <c r="K346" s="4"/>
      <c r="L346" s="207"/>
      <c r="M346" s="4"/>
      <c r="N346" s="4"/>
    </row>
    <row r="347">
      <c r="A347" s="187">
        <f>A253</f>
        <v>101</v>
      </c>
      <c r="B347" s="191">
        <f>INPUT!BE57</f>
        <v>-11.221598452888429</v>
      </c>
      <c r="C347" s="191">
        <f>INPUT!BF57</f>
        <v>-2.330866368538409E-05</v>
      </c>
      <c r="D347" s="191">
        <f>INPUT!BG57</f>
        <v>-34.7103241229197</v>
      </c>
      <c r="E347" s="191">
        <f>INPUT!BM57</f>
        <v>-16.412485402193852</v>
      </c>
      <c r="F347" s="191">
        <f>INPUT!BN57</f>
        <v>-8.999003956472734</v>
      </c>
      <c r="G347" s="191">
        <f>1.25*(B347+C347)</f>
        <v>-14.027027201940143</v>
      </c>
      <c r="H347" s="191">
        <f>1.25*D347</f>
        <v>-43.387905153649626</v>
      </c>
      <c r="I347" s="286">
        <f>1.25*E347+1.5*F347</f>
        <v>-34.014112687451416</v>
      </c>
      <c r="J347" s="4"/>
      <c r="K347" s="4"/>
      <c r="L347" s="207"/>
      <c r="M347" s="4"/>
      <c r="N347" s="4"/>
    </row>
    <row r="348">
      <c r="A348" s="187">
        <f>A254</f>
        <v>101</v>
      </c>
      <c r="B348" s="191">
        <f>INPUT!BE58</f>
        <v>-11.221598452888429</v>
      </c>
      <c r="C348" s="191">
        <f>INPUT!BF58</f>
        <v>-2.330866368538409E-05</v>
      </c>
      <c r="D348" s="191">
        <f>INPUT!BG58</f>
        <v>-34.7103241229197</v>
      </c>
      <c r="E348" s="191">
        <f>INPUT!BM58</f>
        <v>-16.412485402193852</v>
      </c>
      <c r="F348" s="191">
        <f>INPUT!BN58</f>
        <v>-8.999003956472734</v>
      </c>
      <c r="G348" s="191">
        <f>1.25*(B348+C348)</f>
        <v>-14.027027201940143</v>
      </c>
      <c r="H348" s="191">
        <f>1.25*D348</f>
        <v>-43.387905153649626</v>
      </c>
      <c r="I348" s="286">
        <f>1.25*E348+1.5*F348</f>
        <v>-34.014112687451416</v>
      </c>
      <c r="J348" s="4"/>
      <c r="K348" s="4"/>
      <c r="L348" s="207"/>
      <c r="M348" s="4"/>
      <c r="N348" s="4"/>
    </row>
    <row r="349">
      <c r="A349" s="187">
        <f>A255</f>
        <v>101</v>
      </c>
      <c r="B349" s="191">
        <f>INPUT!BE59</f>
        <v>-11.221598452888429</v>
      </c>
      <c r="C349" s="191">
        <f>INPUT!BF59</f>
        <v>-2.330866368538409E-05</v>
      </c>
      <c r="D349" s="191">
        <f>INPUT!BG59</f>
        <v>-34.7103241229197</v>
      </c>
      <c r="E349" s="191">
        <f>INPUT!BM59</f>
        <v>-16.412485402193852</v>
      </c>
      <c r="F349" s="191">
        <f>INPUT!BN59</f>
        <v>-8.999003956472734</v>
      </c>
      <c r="G349" s="191">
        <f>1.25*(B349+C349)</f>
        <v>-14.027027201940143</v>
      </c>
      <c r="H349" s="191">
        <f>1.25*D349</f>
        <v>-43.387905153649626</v>
      </c>
      <c r="I349" s="286">
        <f>1.25*E349+1.5*F349</f>
        <v>-34.014112687451416</v>
      </c>
      <c r="J349" s="4"/>
      <c r="K349" s="4"/>
      <c r="L349" s="207"/>
      <c r="M349" s="4"/>
      <c r="N349" s="4"/>
    </row>
    <row r="350">
      <c r="A350" s="187">
        <f>A256</f>
        <v>101</v>
      </c>
      <c r="B350" s="191">
        <f>INPUT!BE60</f>
        <v>-11.221598452888429</v>
      </c>
      <c r="C350" s="191">
        <f>INPUT!BF60</f>
        <v>-2.330866368538409E-05</v>
      </c>
      <c r="D350" s="191">
        <f>INPUT!BG60</f>
        <v>-34.7103241229197</v>
      </c>
      <c r="E350" s="191">
        <f>INPUT!BM60</f>
        <v>-16.412485402193852</v>
      </c>
      <c r="F350" s="191">
        <f>INPUT!BN60</f>
        <v>-8.999003956472734</v>
      </c>
      <c r="G350" s="191">
        <f>1.25*(B350+C350)</f>
        <v>-14.027027201940143</v>
      </c>
      <c r="H350" s="191">
        <f>1.25*D350</f>
        <v>-43.387905153649626</v>
      </c>
      <c r="I350" s="286">
        <f>1.25*E350+1.5*F350</f>
        <v>-34.014112687451416</v>
      </c>
      <c r="J350" s="4"/>
      <c r="K350" s="4"/>
      <c r="L350" s="207"/>
      <c r="M350" s="4"/>
      <c r="N350" s="4"/>
    </row>
    <row r="351">
      <c r="A351" s="187">
        <f>A257</f>
        <v>101</v>
      </c>
      <c r="B351" s="191">
        <f>INPUT!BE61</f>
        <v>-11.221598452888429</v>
      </c>
      <c r="C351" s="191">
        <f>INPUT!BF61</f>
        <v>-2.330866368538409E-05</v>
      </c>
      <c r="D351" s="191">
        <f>INPUT!BG61</f>
        <v>-34.7103241229197</v>
      </c>
      <c r="E351" s="191">
        <f>INPUT!BM61</f>
        <v>-16.412485402193852</v>
      </c>
      <c r="F351" s="191">
        <f>INPUT!BN61</f>
        <v>-8.999003956472734</v>
      </c>
      <c r="G351" s="191">
        <f>1.25*(B351+C351)</f>
        <v>-14.027027201940143</v>
      </c>
      <c r="H351" s="191">
        <f>1.25*D351</f>
        <v>-43.387905153649626</v>
      </c>
      <c r="I351" s="286">
        <f>1.25*E351+1.5*F351</f>
        <v>-34.014112687451416</v>
      </c>
      <c r="J351" s="4"/>
      <c r="K351" s="4"/>
      <c r="L351" s="207"/>
      <c r="M351" s="4"/>
      <c r="N351" s="4"/>
    </row>
    <row r="352">
      <c r="A352" s="187">
        <f>A258</f>
        <v>101</v>
      </c>
      <c r="B352" s="191">
        <f>INPUT!BE62</f>
        <v>-11.221598452888429</v>
      </c>
      <c r="C352" s="191">
        <f>INPUT!BF62</f>
        <v>-2.330866368538409E-05</v>
      </c>
      <c r="D352" s="191">
        <f>INPUT!BG62</f>
        <v>-34.7103241229197</v>
      </c>
      <c r="E352" s="191">
        <f>INPUT!BM62</f>
        <v>-16.412485402193852</v>
      </c>
      <c r="F352" s="191">
        <f>INPUT!BN62</f>
        <v>-8.999003956472734</v>
      </c>
      <c r="G352" s="191">
        <f>1.25*(B352+C352)</f>
        <v>-14.027027201940143</v>
      </c>
      <c r="H352" s="191">
        <f>1.25*D352</f>
        <v>-43.387905153649626</v>
      </c>
      <c r="I352" s="286">
        <f>1.25*E352+1.5*F352</f>
        <v>-34.014112687451416</v>
      </c>
      <c r="J352" s="4"/>
      <c r="K352" s="4"/>
      <c r="L352" s="207"/>
      <c r="M352" s="4"/>
      <c r="N352" s="4"/>
    </row>
    <row r="353">
      <c r="A353" s="187">
        <f>A259</f>
        <v>101</v>
      </c>
      <c r="B353" s="191">
        <f>INPUT!BE63</f>
        <v>-11.221598452888429</v>
      </c>
      <c r="C353" s="191">
        <f>INPUT!BF63</f>
        <v>-2.330866368538409E-05</v>
      </c>
      <c r="D353" s="191">
        <f>INPUT!BG63</f>
        <v>-34.7103241229197</v>
      </c>
      <c r="E353" s="191">
        <f>INPUT!BM63</f>
        <v>-16.412485402193852</v>
      </c>
      <c r="F353" s="191">
        <f>INPUT!BN63</f>
        <v>-8.999003956472734</v>
      </c>
      <c r="G353" s="191">
        <f>1.25*(B353+C353)</f>
        <v>-14.027027201940143</v>
      </c>
      <c r="H353" s="191">
        <f>1.25*D353</f>
        <v>-43.387905153649626</v>
      </c>
      <c r="I353" s="286">
        <f>1.25*E353+1.5*F353</f>
        <v>-34.014112687451416</v>
      </c>
      <c r="J353" s="4"/>
      <c r="K353" s="4"/>
      <c r="L353" s="207"/>
      <c r="M353" s="4"/>
      <c r="N353" s="4"/>
    </row>
    <row r="354">
      <c r="A354" s="187">
        <f>A260</f>
        <v>101</v>
      </c>
      <c r="B354" s="191">
        <f>INPUT!BE64</f>
        <v>-11.221598452888429</v>
      </c>
      <c r="C354" s="191">
        <f>INPUT!BF64</f>
        <v>-2.330866368538409E-05</v>
      </c>
      <c r="D354" s="191">
        <f>INPUT!BG64</f>
        <v>-34.7103241229197</v>
      </c>
      <c r="E354" s="191">
        <f>INPUT!BM64</f>
        <v>-16.412485402193852</v>
      </c>
      <c r="F354" s="191">
        <f>INPUT!BN64</f>
        <v>-8.999003956472734</v>
      </c>
      <c r="G354" s="191">
        <f>1.25*(B354+C354)</f>
        <v>-14.027027201940143</v>
      </c>
      <c r="H354" s="191">
        <f>1.25*D354</f>
        <v>-43.387905153649626</v>
      </c>
      <c r="I354" s="286">
        <f>1.25*E354+1.5*F354</f>
        <v>-34.014112687451416</v>
      </c>
      <c r="J354" s="4"/>
      <c r="K354" s="4"/>
      <c r="L354" s="207"/>
      <c r="M354" s="4"/>
      <c r="N354" s="4"/>
    </row>
    <row r="355">
      <c r="A355" s="187">
        <f>A261</f>
        <v>101</v>
      </c>
      <c r="B355" s="191">
        <f>INPUT!BE65</f>
        <v>-11.221598452888429</v>
      </c>
      <c r="C355" s="191">
        <f>INPUT!BF65</f>
        <v>-2.330866368538409E-05</v>
      </c>
      <c r="D355" s="191">
        <f>INPUT!BG65</f>
        <v>-34.7103241229197</v>
      </c>
      <c r="E355" s="191">
        <f>INPUT!BM65</f>
        <v>-16.412485402193852</v>
      </c>
      <c r="F355" s="191">
        <f>INPUT!BN65</f>
        <v>-8.999003956472734</v>
      </c>
      <c r="G355" s="191">
        <f>1.25*(B355+C355)</f>
        <v>-14.027027201940143</v>
      </c>
      <c r="H355" s="191">
        <f>1.25*D355</f>
        <v>-43.387905153649626</v>
      </c>
      <c r="I355" s="286">
        <f>1.25*E355+1.5*F355</f>
        <v>-34.014112687451416</v>
      </c>
      <c r="J355" s="4"/>
      <c r="K355" s="4"/>
      <c r="L355" s="207"/>
      <c r="M355" s="4"/>
      <c r="N355" s="4"/>
    </row>
    <row r="356">
      <c r="A356" s="187">
        <f>A262</f>
        <v>101</v>
      </c>
      <c r="B356" s="191">
        <f>INPUT!BE66</f>
        <v>-11.221598452888429</v>
      </c>
      <c r="C356" s="191">
        <f>INPUT!BF66</f>
        <v>-2.330866368538409E-05</v>
      </c>
      <c r="D356" s="191">
        <f>INPUT!BG66</f>
        <v>-34.7103241229197</v>
      </c>
      <c r="E356" s="191">
        <f>INPUT!BM66</f>
        <v>-16.412485402193852</v>
      </c>
      <c r="F356" s="191">
        <f>INPUT!BN66</f>
        <v>-8.999003956472734</v>
      </c>
      <c r="G356" s="191">
        <f>1.25*(B356+C356)</f>
        <v>-14.027027201940143</v>
      </c>
      <c r="H356" s="191">
        <f>1.25*D356</f>
        <v>-43.387905153649626</v>
      </c>
      <c r="I356" s="286">
        <f>1.25*E356+1.5*F356</f>
        <v>-34.014112687451416</v>
      </c>
      <c r="J356" s="4"/>
      <c r="K356" s="4"/>
      <c r="L356" s="207"/>
      <c r="M356" s="4"/>
      <c r="N356" s="4"/>
    </row>
    <row r="357">
      <c r="A357" s="187">
        <f>A263</f>
        <v>101</v>
      </c>
      <c r="B357" s="191">
        <f>INPUT!BE67</f>
        <v>-11.221598452888429</v>
      </c>
      <c r="C357" s="191">
        <f>INPUT!BF67</f>
        <v>-2.330866368538409E-05</v>
      </c>
      <c r="D357" s="191">
        <f>INPUT!BG67</f>
        <v>-34.7103241229197</v>
      </c>
      <c r="E357" s="191">
        <f>INPUT!BM67</f>
        <v>-16.412485402193852</v>
      </c>
      <c r="F357" s="191">
        <f>INPUT!BN67</f>
        <v>-8.999003956472734</v>
      </c>
      <c r="G357" s="191">
        <f>1.25*(B357+C357)</f>
        <v>-14.027027201940143</v>
      </c>
      <c r="H357" s="191">
        <f>1.25*D357</f>
        <v>-43.387905153649626</v>
      </c>
      <c r="I357" s="286">
        <f>1.25*E357+1.5*F357</f>
        <v>-34.014112687451416</v>
      </c>
      <c r="J357" s="4"/>
      <c r="K357" s="4"/>
      <c r="L357" s="207"/>
      <c r="M357" s="4"/>
      <c r="N357" s="4"/>
    </row>
    <row r="358">
      <c r="A358" s="187">
        <f>A264</f>
        <v>101</v>
      </c>
      <c r="B358" s="191">
        <f>INPUT!BE68</f>
        <v>-11.221598452888429</v>
      </c>
      <c r="C358" s="191">
        <f>INPUT!BF68</f>
        <v>-2.330866368538409E-05</v>
      </c>
      <c r="D358" s="191">
        <f>INPUT!BG68</f>
        <v>-34.7103241229197</v>
      </c>
      <c r="E358" s="191">
        <f>INPUT!BM68</f>
        <v>-16.412485402193852</v>
      </c>
      <c r="F358" s="191">
        <f>INPUT!BN68</f>
        <v>-8.999003956472734</v>
      </c>
      <c r="G358" s="191">
        <f>1.25*(B358+C358)</f>
        <v>-14.027027201940143</v>
      </c>
      <c r="H358" s="191">
        <f>1.25*D358</f>
        <v>-43.387905153649626</v>
      </c>
      <c r="I358" s="286">
        <f>1.25*E358+1.5*F358</f>
        <v>-34.014112687451416</v>
      </c>
      <c r="J358" s="4"/>
      <c r="K358" s="4"/>
      <c r="L358" s="207"/>
      <c r="M358" s="4"/>
      <c r="N358" s="4"/>
    </row>
    <row r="359">
      <c r="A359" s="187">
        <f>A265</f>
        <v>101</v>
      </c>
      <c r="B359" s="191">
        <f>INPUT!BE69</f>
        <v>-11.221598452888429</v>
      </c>
      <c r="C359" s="191">
        <f>INPUT!BF69</f>
        <v>-2.330866368538409E-05</v>
      </c>
      <c r="D359" s="191">
        <f>INPUT!BG69</f>
        <v>-34.7103241229197</v>
      </c>
      <c r="E359" s="191">
        <f>INPUT!BM69</f>
        <v>-16.412485402193852</v>
      </c>
      <c r="F359" s="191">
        <f>INPUT!BN69</f>
        <v>-8.999003956472734</v>
      </c>
      <c r="G359" s="191">
        <f>1.25*(B359+C359)</f>
        <v>-14.027027201940143</v>
      </c>
      <c r="H359" s="191">
        <f>1.25*D359</f>
        <v>-43.387905153649626</v>
      </c>
      <c r="I359" s="286">
        <f>1.25*E359+1.5*F359</f>
        <v>-34.014112687451416</v>
      </c>
      <c r="J359" s="4"/>
      <c r="K359" s="4"/>
      <c r="L359" s="207"/>
      <c r="M359" s="4"/>
      <c r="N359" s="4"/>
    </row>
    <row r="360">
      <c r="A360" s="187">
        <f>A266</f>
        <v>101</v>
      </c>
      <c r="B360" s="191">
        <f>INPUT!BE70</f>
        <v>-11.221598452888429</v>
      </c>
      <c r="C360" s="191">
        <f>INPUT!BF70</f>
        <v>-2.330866368538409E-05</v>
      </c>
      <c r="D360" s="191">
        <f>INPUT!BG70</f>
        <v>-34.7103241229197</v>
      </c>
      <c r="E360" s="191">
        <f>INPUT!BM70</f>
        <v>-16.412485402193852</v>
      </c>
      <c r="F360" s="191">
        <f>INPUT!BN70</f>
        <v>-8.999003956472734</v>
      </c>
      <c r="G360" s="191">
        <f>1.25*(B360+C360)</f>
        <v>-14.027027201940143</v>
      </c>
      <c r="H360" s="191">
        <f>1.25*D360</f>
        <v>-43.387905153649626</v>
      </c>
      <c r="I360" s="286">
        <f>1.25*E360+1.5*F360</f>
        <v>-34.014112687451416</v>
      </c>
      <c r="J360" s="4"/>
      <c r="K360" s="4"/>
      <c r="L360" s="207"/>
      <c r="M360" s="4"/>
      <c r="N360" s="4"/>
    </row>
    <row r="361">
      <c r="A361" s="187">
        <f>A267</f>
        <v>101</v>
      </c>
      <c r="B361" s="191">
        <f>INPUT!BE71</f>
        <v>-11.221598452888429</v>
      </c>
      <c r="C361" s="191">
        <f>INPUT!BF71</f>
        <v>-2.330866368538409E-05</v>
      </c>
      <c r="D361" s="191">
        <f>INPUT!BG71</f>
        <v>-34.7103241229197</v>
      </c>
      <c r="E361" s="191">
        <f>INPUT!BM71</f>
        <v>-16.412485402193852</v>
      </c>
      <c r="F361" s="191">
        <f>INPUT!BN71</f>
        <v>-8.999003956472734</v>
      </c>
      <c r="G361" s="191">
        <f>1.25*(B361+C361)</f>
        <v>-14.027027201940143</v>
      </c>
      <c r="H361" s="191">
        <f>1.25*D361</f>
        <v>-43.387905153649626</v>
      </c>
      <c r="I361" s="286">
        <f>1.25*E361+1.5*F361</f>
        <v>-34.014112687451416</v>
      </c>
      <c r="J361" s="4"/>
      <c r="K361" s="4"/>
      <c r="L361" s="207"/>
      <c r="M361" s="4"/>
      <c r="N361" s="4"/>
    </row>
    <row r="362">
      <c r="A362" s="187">
        <f>A268</f>
        <v>101</v>
      </c>
      <c r="B362" s="191">
        <f>INPUT!BE72</f>
        <v>-11.221598452888429</v>
      </c>
      <c r="C362" s="191">
        <f>INPUT!BF72</f>
        <v>-2.330866368538409E-05</v>
      </c>
      <c r="D362" s="191">
        <f>INPUT!BG72</f>
        <v>-34.7103241229197</v>
      </c>
      <c r="E362" s="191">
        <f>INPUT!BM72</f>
        <v>-16.412485402193852</v>
      </c>
      <c r="F362" s="191">
        <f>INPUT!BN72</f>
        <v>-8.999003956472734</v>
      </c>
      <c r="G362" s="191">
        <f>1.25*(B362+C362)</f>
        <v>-14.027027201940143</v>
      </c>
      <c r="H362" s="191">
        <f>1.25*D362</f>
        <v>-43.387905153649626</v>
      </c>
      <c r="I362" s="286">
        <f>1.25*E362+1.5*F362</f>
        <v>-34.014112687451416</v>
      </c>
      <c r="J362" s="4"/>
      <c r="K362" s="4"/>
      <c r="L362" s="207"/>
      <c r="M362" s="4"/>
      <c r="N362" s="4"/>
    </row>
    <row r="363">
      <c r="A363" s="187">
        <f>A269</f>
        <v>101</v>
      </c>
      <c r="B363" s="191">
        <f>INPUT!BE73</f>
        <v>-11.221598452888429</v>
      </c>
      <c r="C363" s="191">
        <f>INPUT!BF73</f>
        <v>-2.330866368538409E-05</v>
      </c>
      <c r="D363" s="191">
        <f>INPUT!BG73</f>
        <v>-34.7103241229197</v>
      </c>
      <c r="E363" s="191">
        <f>INPUT!BM73</f>
        <v>-16.412485402193852</v>
      </c>
      <c r="F363" s="191">
        <f>INPUT!BN73</f>
        <v>-8.999003956472734</v>
      </c>
      <c r="G363" s="191">
        <f>1.25*(B363+C363)</f>
        <v>-14.027027201940143</v>
      </c>
      <c r="H363" s="191">
        <f>1.25*D363</f>
        <v>-43.387905153649626</v>
      </c>
      <c r="I363" s="286">
        <f>1.25*E363+1.5*F363</f>
        <v>-34.014112687451416</v>
      </c>
      <c r="J363" s="4"/>
      <c r="K363" s="4"/>
      <c r="L363" s="207"/>
      <c r="M363" s="4"/>
      <c r="N363" s="4"/>
    </row>
    <row r="364">
      <c r="A364" s="187">
        <f>A270</f>
        <v>101</v>
      </c>
      <c r="B364" s="191">
        <f>INPUT!BE74</f>
        <v>-11.221598452888429</v>
      </c>
      <c r="C364" s="191">
        <f>INPUT!BF74</f>
        <v>-2.330866368538409E-05</v>
      </c>
      <c r="D364" s="191">
        <f>INPUT!BG74</f>
        <v>-34.7103241229197</v>
      </c>
      <c r="E364" s="191">
        <f>INPUT!BM74</f>
        <v>-16.412485402193852</v>
      </c>
      <c r="F364" s="191">
        <f>INPUT!BN74</f>
        <v>-8.999003956472734</v>
      </c>
      <c r="G364" s="191">
        <f>1.25*(B364+C364)</f>
        <v>-14.027027201940143</v>
      </c>
      <c r="H364" s="191">
        <f>1.25*D364</f>
        <v>-43.387905153649626</v>
      </c>
      <c r="I364" s="286">
        <f>1.25*E364+1.5*F364</f>
        <v>-34.014112687451416</v>
      </c>
      <c r="J364" s="4"/>
      <c r="K364" s="4"/>
      <c r="L364" s="207"/>
      <c r="M364" s="4"/>
      <c r="N364" s="4"/>
    </row>
    <row r="365">
      <c r="A365" s="187">
        <f>A271</f>
        <v>101</v>
      </c>
      <c r="B365" s="191">
        <f>INPUT!BE75</f>
        <v>-11.221598452888429</v>
      </c>
      <c r="C365" s="191">
        <f>INPUT!BF75</f>
        <v>-2.330866368538409E-05</v>
      </c>
      <c r="D365" s="191">
        <f>INPUT!BG75</f>
        <v>-34.7103241229197</v>
      </c>
      <c r="E365" s="191">
        <f>INPUT!BM75</f>
        <v>-16.412485402193852</v>
      </c>
      <c r="F365" s="191">
        <f>INPUT!BN75</f>
        <v>-8.999003956472734</v>
      </c>
      <c r="G365" s="191">
        <f>1.25*(B365+C365)</f>
        <v>-14.027027201940143</v>
      </c>
      <c r="H365" s="191">
        <f>1.25*D365</f>
        <v>-43.387905153649626</v>
      </c>
      <c r="I365" s="286">
        <f>1.25*E365+1.5*F365</f>
        <v>-34.014112687451416</v>
      </c>
      <c r="J365" s="4"/>
      <c r="K365" s="4"/>
      <c r="L365" s="207"/>
      <c r="M365" s="4"/>
      <c r="N365" s="4"/>
    </row>
    <row r="366">
      <c r="A366" s="187">
        <f>A272</f>
        <v>101</v>
      </c>
      <c r="B366" s="191">
        <f>INPUT!BE76</f>
        <v>-11.221598452888429</v>
      </c>
      <c r="C366" s="191">
        <f>INPUT!BF76</f>
        <v>-2.330866368538409E-05</v>
      </c>
      <c r="D366" s="191">
        <f>INPUT!BG76</f>
        <v>-34.7103241229197</v>
      </c>
      <c r="E366" s="191">
        <f>INPUT!BM76</f>
        <v>-16.412485402193852</v>
      </c>
      <c r="F366" s="191">
        <f>INPUT!BN76</f>
        <v>-8.999003956472734</v>
      </c>
      <c r="G366" s="191">
        <f>1.25*(B366+C366)</f>
        <v>-14.027027201940143</v>
      </c>
      <c r="H366" s="191">
        <f>1.25*D366</f>
        <v>-43.387905153649626</v>
      </c>
      <c r="I366" s="286">
        <f>1.25*E366+1.5*F366</f>
        <v>-34.014112687451416</v>
      </c>
      <c r="J366" s="4"/>
      <c r="K366" s="4"/>
      <c r="L366" s="207"/>
      <c r="M366" s="4"/>
      <c r="N366" s="4"/>
    </row>
    <row r="367">
      <c r="A367" s="187">
        <f>A273</f>
        <v>101</v>
      </c>
      <c r="B367" s="191">
        <f>INPUT!BE77</f>
        <v>-11.221598452888429</v>
      </c>
      <c r="C367" s="191">
        <f>INPUT!BF77</f>
        <v>-2.330866368538409E-05</v>
      </c>
      <c r="D367" s="191">
        <f>INPUT!BG77</f>
        <v>-34.7103241229197</v>
      </c>
      <c r="E367" s="191">
        <f>INPUT!BM77</f>
        <v>-16.412485402193852</v>
      </c>
      <c r="F367" s="191">
        <f>INPUT!BN77</f>
        <v>-8.999003956472734</v>
      </c>
      <c r="G367" s="191">
        <f>1.25*(B367+C367)</f>
        <v>-14.027027201940143</v>
      </c>
      <c r="H367" s="191">
        <f>1.25*D367</f>
        <v>-43.387905153649626</v>
      </c>
      <c r="I367" s="286">
        <f>1.25*E367+1.5*F367</f>
        <v>-34.014112687451416</v>
      </c>
      <c r="J367" s="4"/>
      <c r="K367" s="4"/>
      <c r="L367" s="207"/>
      <c r="M367" s="4"/>
      <c r="N367" s="4"/>
    </row>
    <row r="368">
      <c r="A368" s="187">
        <f>A274</f>
        <v>101</v>
      </c>
      <c r="B368" s="191">
        <f>INPUT!BE78</f>
        <v>-11.221598452888429</v>
      </c>
      <c r="C368" s="191">
        <f>INPUT!BF78</f>
        <v>-2.330866368538409E-05</v>
      </c>
      <c r="D368" s="191">
        <f>INPUT!BG78</f>
        <v>-34.7103241229197</v>
      </c>
      <c r="E368" s="191">
        <f>INPUT!BM78</f>
        <v>-16.412485402193852</v>
      </c>
      <c r="F368" s="191">
        <f>INPUT!BN78</f>
        <v>-8.999003956472734</v>
      </c>
      <c r="G368" s="191">
        <f>1.25*(B368+C368)</f>
        <v>-14.027027201940143</v>
      </c>
      <c r="H368" s="191">
        <f>1.25*D368</f>
        <v>-43.387905153649626</v>
      </c>
      <c r="I368" s="286">
        <f>1.25*E368+1.5*F368</f>
        <v>-34.014112687451416</v>
      </c>
      <c r="J368" s="4"/>
      <c r="K368" s="4"/>
      <c r="L368" s="207"/>
      <c r="M368" s="4"/>
      <c r="N368" s="4"/>
    </row>
    <row r="369" ht="15" customHeight="1">
      <c r="A369" s="4"/>
      <c r="B369" s="4"/>
      <c r="C369" s="4"/>
      <c r="D369" s="207"/>
      <c r="E369" s="207"/>
      <c r="F369" s="207"/>
      <c r="G369" s="207"/>
      <c r="H369" s="207"/>
      <c r="I369" s="207"/>
      <c r="J369" s="207"/>
      <c r="K369" s="207"/>
      <c r="L369" s="207"/>
      <c r="M369" s="207"/>
      <c r="N369" s="207"/>
    </row>
    <row r="370" ht="15" customHeight="1">
      <c r="A370" s="59" t="s">
        <v>749</v>
      </c>
      <c r="B370" s="4"/>
      <c r="C370" s="4"/>
      <c r="D370" s="4"/>
      <c r="E370" s="4"/>
      <c r="F370" s="4"/>
      <c r="G370" s="110"/>
      <c r="H370" s="110"/>
      <c r="I370" s="110"/>
      <c r="J370" s="4"/>
      <c r="K370" s="4"/>
      <c r="L370" s="207"/>
      <c r="M370" s="4"/>
      <c r="N370" s="4"/>
    </row>
    <row r="371" ht="15" customHeight="1">
      <c r="A371" s="273" t="s">
        <v>230</v>
      </c>
      <c r="B371" s="494" t="s">
        <v>750</v>
      </c>
      <c r="C371" s="498"/>
      <c r="D371" s="498"/>
      <c r="E371" s="495"/>
      <c r="F371" s="274" t="s">
        <v>751</v>
      </c>
      <c r="G371" s="494" t="s">
        <v>752</v>
      </c>
      <c r="H371" s="498"/>
      <c r="I371" s="498"/>
      <c r="J371" s="495"/>
      <c r="K371" s="274" t="s">
        <v>753</v>
      </c>
      <c r="L371" s="274" t="s">
        <v>733</v>
      </c>
      <c r="M371" s="274" t="s">
        <v>754</v>
      </c>
      <c r="N371" s="284" t="s">
        <v>755</v>
      </c>
    </row>
    <row r="372" ht="15" customHeight="1">
      <c r="A372" s="276"/>
      <c r="B372" s="285" t="s">
        <v>756</v>
      </c>
      <c r="C372" s="285" t="s">
        <v>757</v>
      </c>
      <c r="D372" s="285" t="s">
        <v>758</v>
      </c>
      <c r="E372" s="285" t="s">
        <v>759</v>
      </c>
      <c r="F372" s="277"/>
      <c r="G372" s="285" t="s">
        <v>756</v>
      </c>
      <c r="H372" s="285" t="s">
        <v>757</v>
      </c>
      <c r="I372" s="285" t="s">
        <v>758</v>
      </c>
      <c r="J372" s="285" t="s">
        <v>759</v>
      </c>
      <c r="K372" s="277"/>
      <c r="L372" s="277"/>
      <c r="M372" s="277"/>
      <c r="N372" s="278" t="s">
        <v>760</v>
      </c>
    </row>
    <row r="373" ht="15" customHeight="1">
      <c r="A373" s="187">
        <f>A293</f>
        <v>101</v>
      </c>
      <c r="B373" s="175">
        <f>INPUT!BQ3</f>
        <v>94594968.220569268</v>
      </c>
      <c r="C373" s="175">
        <f>INPUT!BR3</f>
        <v>94594968.220569268</v>
      </c>
      <c r="D373" s="175">
        <f>INPUT!BS3</f>
        <v>104092098.67581166</v>
      </c>
      <c r="E373" s="175">
        <f>INPUT!BT3</f>
        <v>123240019.78823511</v>
      </c>
      <c r="F373" s="174">
        <f>IF(INPUT!CH3&lt;=0,(INPUT!AP3/10^6-G293/B373-H293/C373-I293/D373)*E373,-(INPUT!AO3/10^6+G293/B373+H293/C373+I293/D373)*E373)</f>
        <v>-46716.135249360021</v>
      </c>
      <c r="G373" s="175">
        <f>INPUT!BU3</f>
        <v>102289002.70150694</v>
      </c>
      <c r="H373" s="175">
        <f>INPUT!BV3</f>
        <v>102289002.70150694</v>
      </c>
      <c r="I373" s="175">
        <f>INPUT!BW3</f>
        <v>105151259.22625338</v>
      </c>
      <c r="J373" s="175">
        <f>INPUT!BX3</f>
        <v>109913620.18406133</v>
      </c>
      <c r="K373" s="174">
        <f>IF(INPUT!CH3&lt;=0,(INPUT!AO3/10^6-G293/G373-H293/H373-I293/I373)*J373,-(INPUT!AP3/10^6+G293/G373+H293/H373+I293/I373)*J373)</f>
        <v>-41669.926399814278</v>
      </c>
      <c r="L373" s="343">
        <f>MIN(ABS(F373),ABS(K373))</f>
        <v>41669.926399814278</v>
      </c>
      <c r="M373" s="343">
        <f>ABS(G293+H293+I293)+L373</f>
        <v>41761.35544485732</v>
      </c>
      <c r="N373" s="282">
        <f>(M373-N199)/N199</f>
        <v>-0.1503350135555645</v>
      </c>
    </row>
    <row r="374">
      <c r="A374" s="187">
        <f>A294</f>
        <v>101</v>
      </c>
      <c r="B374" s="175">
        <f>INPUT!BQ4</f>
        <v>94594968.220569268</v>
      </c>
      <c r="C374" s="175">
        <f>INPUT!BR4</f>
        <v>94594968.220569268</v>
      </c>
      <c r="D374" s="175">
        <f>INPUT!BS4</f>
        <v>104092098.67581166</v>
      </c>
      <c r="E374" s="175">
        <f>INPUT!BT4</f>
        <v>123240019.78823511</v>
      </c>
      <c r="F374" s="174">
        <f>IF(INPUT!CH4&lt;=0,(INPUT!AP4/10^6-G294/B374-H294/C374-I294/D374)*E374,-(INPUT!AO4/10^6+G294/B374+H294/C374+I294/D374)*E374)</f>
        <v>-46716.135249360021</v>
      </c>
      <c r="G374" s="175">
        <f>INPUT!BU4</f>
        <v>102289002.70150694</v>
      </c>
      <c r="H374" s="175">
        <f>INPUT!BV4</f>
        <v>102289002.70150694</v>
      </c>
      <c r="I374" s="175">
        <f>INPUT!BW4</f>
        <v>105151259.22625338</v>
      </c>
      <c r="J374" s="175">
        <f>INPUT!BX4</f>
        <v>109913620.18406133</v>
      </c>
      <c r="K374" s="174">
        <f>IF(INPUT!CH4&lt;=0,(INPUT!AO4/10^6-G294/G374-H294/H374-I294/I374)*J374,-(INPUT!AP4/10^6+G294/G374+H294/H374+I294/I374)*J374)</f>
        <v>-41669.926399814278</v>
      </c>
      <c r="L374" s="343">
        <f>MIN(ABS(F374),ABS(K374))</f>
        <v>41669.926399814278</v>
      </c>
      <c r="M374" s="343">
        <f>ABS(G294+H294+I294)+L374</f>
        <v>41761.35544485732</v>
      </c>
      <c r="N374" s="282">
        <f>(M374-N200)/N200</f>
        <v>-0.1503350135555645</v>
      </c>
    </row>
    <row r="375">
      <c r="A375" s="187">
        <f>A295</f>
        <v>101</v>
      </c>
      <c r="B375" s="175">
        <f>INPUT!BQ5</f>
        <v>94594968.220569268</v>
      </c>
      <c r="C375" s="175">
        <f>INPUT!BR5</f>
        <v>94594968.220569268</v>
      </c>
      <c r="D375" s="175">
        <f>INPUT!BS5</f>
        <v>104092098.67581166</v>
      </c>
      <c r="E375" s="175">
        <f>INPUT!BT5</f>
        <v>123240019.78823511</v>
      </c>
      <c r="F375" s="174">
        <f>IF(INPUT!CH5&lt;=0,(INPUT!AP5/10^6-G295/B375-H295/C375-I295/D375)*E375,-(INPUT!AO5/10^6+G295/B375+H295/C375+I295/D375)*E375)</f>
        <v>-46716.135249360021</v>
      </c>
      <c r="G375" s="175">
        <f>INPUT!BU5</f>
        <v>102289002.70150694</v>
      </c>
      <c r="H375" s="175">
        <f>INPUT!BV5</f>
        <v>102289002.70150694</v>
      </c>
      <c r="I375" s="175">
        <f>INPUT!BW5</f>
        <v>105151259.22625338</v>
      </c>
      <c r="J375" s="175">
        <f>INPUT!BX5</f>
        <v>109913620.18406133</v>
      </c>
      <c r="K375" s="174">
        <f>IF(INPUT!CH5&lt;=0,(INPUT!AO5/10^6-G295/G375-H295/H375-I295/I375)*J375,-(INPUT!AP5/10^6+G295/G375+H295/H375+I295/I375)*J375)</f>
        <v>-41669.926399814278</v>
      </c>
      <c r="L375" s="343">
        <f>MIN(ABS(F375),ABS(K375))</f>
        <v>41669.926399814278</v>
      </c>
      <c r="M375" s="343">
        <f>ABS(G295+H295+I295)+L375</f>
        <v>41761.35544485732</v>
      </c>
      <c r="N375" s="282">
        <f>(M375-N201)/N201</f>
        <v>-0.1503350135555645</v>
      </c>
    </row>
    <row r="376">
      <c r="A376" s="187">
        <f>A296</f>
        <v>101</v>
      </c>
      <c r="B376" s="175">
        <f>INPUT!BQ6</f>
        <v>94594968.220569268</v>
      </c>
      <c r="C376" s="175">
        <f>INPUT!BR6</f>
        <v>94594968.220569268</v>
      </c>
      <c r="D376" s="175">
        <f>INPUT!BS6</f>
        <v>104092098.67581166</v>
      </c>
      <c r="E376" s="175">
        <f>INPUT!BT6</f>
        <v>123240019.78823511</v>
      </c>
      <c r="F376" s="174">
        <f>IF(INPUT!CH6&lt;=0,(INPUT!AP6/10^6-G296/B376-H296/C376-I296/D376)*E376,-(INPUT!AO6/10^6+G296/B376+H296/C376+I296/D376)*E376)</f>
        <v>-46716.135249360021</v>
      </c>
      <c r="G376" s="175">
        <f>INPUT!BU6</f>
        <v>102289002.70150694</v>
      </c>
      <c r="H376" s="175">
        <f>INPUT!BV6</f>
        <v>102289002.70150694</v>
      </c>
      <c r="I376" s="175">
        <f>INPUT!BW6</f>
        <v>105151259.22625338</v>
      </c>
      <c r="J376" s="175">
        <f>INPUT!BX6</f>
        <v>109913620.18406133</v>
      </c>
      <c r="K376" s="174">
        <f>IF(INPUT!CH6&lt;=0,(INPUT!AO6/10^6-G296/G376-H296/H376-I296/I376)*J376,-(INPUT!AP6/10^6+G296/G376+H296/H376+I296/I376)*J376)</f>
        <v>-41669.926399814278</v>
      </c>
      <c r="L376" s="343">
        <f>MIN(ABS(F376),ABS(K376))</f>
        <v>41669.926399814278</v>
      </c>
      <c r="M376" s="343">
        <f>ABS(G296+H296+I296)+L376</f>
        <v>41761.35544485732</v>
      </c>
      <c r="N376" s="282">
        <f>(M376-N202)/N202</f>
        <v>-0.1503350135555645</v>
      </c>
    </row>
    <row r="377">
      <c r="A377" s="187">
        <f>A297</f>
        <v>101</v>
      </c>
      <c r="B377" s="175">
        <f>INPUT!BQ7</f>
        <v>94594968.220569268</v>
      </c>
      <c r="C377" s="175">
        <f>INPUT!BR7</f>
        <v>94594968.220569268</v>
      </c>
      <c r="D377" s="175">
        <f>INPUT!BS7</f>
        <v>104092098.67581166</v>
      </c>
      <c r="E377" s="175">
        <f>INPUT!BT7</f>
        <v>123240019.78823511</v>
      </c>
      <c r="F377" s="174">
        <f>IF(INPUT!CH7&lt;=0,(INPUT!AP7/10^6-G297/B377-H297/C377-I297/D377)*E377,-(INPUT!AO7/10^6+G297/B377+H297/C377+I297/D377)*E377)</f>
        <v>-46716.135249360021</v>
      </c>
      <c r="G377" s="175">
        <f>INPUT!BU7</f>
        <v>102289002.70150694</v>
      </c>
      <c r="H377" s="175">
        <f>INPUT!BV7</f>
        <v>102289002.70150694</v>
      </c>
      <c r="I377" s="175">
        <f>INPUT!BW7</f>
        <v>105151259.22625338</v>
      </c>
      <c r="J377" s="175">
        <f>INPUT!BX7</f>
        <v>109913620.18406133</v>
      </c>
      <c r="K377" s="174">
        <f>IF(INPUT!CH7&lt;=0,(INPUT!AO7/10^6-G297/G377-H297/H377-I297/I377)*J377,-(INPUT!AP7/10^6+G297/G377+H297/H377+I297/I377)*J377)</f>
        <v>-41669.926399814278</v>
      </c>
      <c r="L377" s="343">
        <f>MIN(ABS(F377),ABS(K377))</f>
        <v>41669.926399814278</v>
      </c>
      <c r="M377" s="343">
        <f>ABS(G297+H297+I297)+L377</f>
        <v>41761.35544485732</v>
      </c>
      <c r="N377" s="282">
        <f>(M377-N203)/N203</f>
        <v>-0.1503350135555645</v>
      </c>
    </row>
    <row r="378">
      <c r="A378" s="187">
        <f>A298</f>
        <v>101</v>
      </c>
      <c r="B378" s="175">
        <f>INPUT!BQ8</f>
        <v>94594968.220569268</v>
      </c>
      <c r="C378" s="175">
        <f>INPUT!BR8</f>
        <v>94594968.220569268</v>
      </c>
      <c r="D378" s="175">
        <f>INPUT!BS8</f>
        <v>104092098.67581166</v>
      </c>
      <c r="E378" s="175">
        <f>INPUT!BT8</f>
        <v>123240019.78823511</v>
      </c>
      <c r="F378" s="174">
        <f>IF(INPUT!CH8&lt;=0,(INPUT!AP8/10^6-G298/B378-H298/C378-I298/D378)*E378,-(INPUT!AO8/10^6+G298/B378+H298/C378+I298/D378)*E378)</f>
        <v>-46716.135249360021</v>
      </c>
      <c r="G378" s="175">
        <f>INPUT!BU8</f>
        <v>102289002.70150694</v>
      </c>
      <c r="H378" s="175">
        <f>INPUT!BV8</f>
        <v>102289002.70150694</v>
      </c>
      <c r="I378" s="175">
        <f>INPUT!BW8</f>
        <v>105151259.22625338</v>
      </c>
      <c r="J378" s="175">
        <f>INPUT!BX8</f>
        <v>109913620.18406133</v>
      </c>
      <c r="K378" s="174">
        <f>IF(INPUT!CH8&lt;=0,(INPUT!AO8/10^6-G298/G378-H298/H378-I298/I378)*J378,-(INPUT!AP8/10^6+G298/G378+H298/H378+I298/I378)*J378)</f>
        <v>-41669.926399814278</v>
      </c>
      <c r="L378" s="343">
        <f>MIN(ABS(F378),ABS(K378))</f>
        <v>41669.926399814278</v>
      </c>
      <c r="M378" s="343">
        <f>ABS(G298+H298+I298)+L378</f>
        <v>41761.35544485732</v>
      </c>
      <c r="N378" s="282">
        <f>(M378-N204)/N204</f>
        <v>-0.1503350135555645</v>
      </c>
    </row>
    <row r="379">
      <c r="A379" s="187">
        <f>A299</f>
        <v>101</v>
      </c>
      <c r="B379" s="175">
        <f>INPUT!BQ9</f>
        <v>94594968.220569268</v>
      </c>
      <c r="C379" s="175">
        <f>INPUT!BR9</f>
        <v>94594968.220569268</v>
      </c>
      <c r="D379" s="175">
        <f>INPUT!BS9</f>
        <v>104092098.67581166</v>
      </c>
      <c r="E379" s="175">
        <f>INPUT!BT9</f>
        <v>123240019.78823511</v>
      </c>
      <c r="F379" s="174">
        <f>IF(INPUT!CH9&lt;=0,(INPUT!AP9/10^6-G299/B379-H299/C379-I299/D379)*E379,-(INPUT!AO9/10^6+G299/B379+H299/C379+I299/D379)*E379)</f>
        <v>-46716.135249360021</v>
      </c>
      <c r="G379" s="175">
        <f>INPUT!BU9</f>
        <v>102289002.70150694</v>
      </c>
      <c r="H379" s="175">
        <f>INPUT!BV9</f>
        <v>102289002.70150694</v>
      </c>
      <c r="I379" s="175">
        <f>INPUT!BW9</f>
        <v>105151259.22625338</v>
      </c>
      <c r="J379" s="175">
        <f>INPUT!BX9</f>
        <v>109913620.18406133</v>
      </c>
      <c r="K379" s="174">
        <f>IF(INPUT!CH9&lt;=0,(INPUT!AO9/10^6-G299/G379-H299/H379-I299/I379)*J379,-(INPUT!AP9/10^6+G299/G379+H299/H379+I299/I379)*J379)</f>
        <v>-41669.926399814278</v>
      </c>
      <c r="L379" s="343">
        <f>MIN(ABS(F379),ABS(K379))</f>
        <v>41669.926399814278</v>
      </c>
      <c r="M379" s="343">
        <f>ABS(G299+H299+I299)+L379</f>
        <v>41761.35544485732</v>
      </c>
      <c r="N379" s="282">
        <f>(M379-N205)/N205</f>
        <v>-0.1503350135555645</v>
      </c>
    </row>
    <row r="380">
      <c r="A380" s="187">
        <f>A300</f>
        <v>101</v>
      </c>
      <c r="B380" s="175">
        <f>INPUT!BQ10</f>
        <v>94594968.220569268</v>
      </c>
      <c r="C380" s="175">
        <f>INPUT!BR10</f>
        <v>94594968.220569268</v>
      </c>
      <c r="D380" s="175">
        <f>INPUT!BS10</f>
        <v>104092098.67581166</v>
      </c>
      <c r="E380" s="175">
        <f>INPUT!BT10</f>
        <v>123240019.78823511</v>
      </c>
      <c r="F380" s="174">
        <f>IF(INPUT!CH10&lt;=0,(INPUT!AP10/10^6-G300/B380-H300/C380-I300/D380)*E380,-(INPUT!AO10/10^6+G300/B380+H300/C380+I300/D380)*E380)</f>
        <v>-46716.135249360021</v>
      </c>
      <c r="G380" s="175">
        <f>INPUT!BU10</f>
        <v>102289002.70150694</v>
      </c>
      <c r="H380" s="175">
        <f>INPUT!BV10</f>
        <v>102289002.70150694</v>
      </c>
      <c r="I380" s="175">
        <f>INPUT!BW10</f>
        <v>105151259.22625338</v>
      </c>
      <c r="J380" s="175">
        <f>INPUT!BX10</f>
        <v>109913620.18406133</v>
      </c>
      <c r="K380" s="174">
        <f>IF(INPUT!CH10&lt;=0,(INPUT!AO10/10^6-G300/G380-H300/H380-I300/I380)*J380,-(INPUT!AP10/10^6+G300/G380+H300/H380+I300/I380)*J380)</f>
        <v>-41669.926399814278</v>
      </c>
      <c r="L380" s="343">
        <f>MIN(ABS(F380),ABS(K380))</f>
        <v>41669.926399814278</v>
      </c>
      <c r="M380" s="343">
        <f>ABS(G300+H300+I300)+L380</f>
        <v>41761.35544485732</v>
      </c>
      <c r="N380" s="282">
        <f>(M380-N206)/N206</f>
        <v>-0.1503350135555645</v>
      </c>
    </row>
    <row r="381">
      <c r="A381" s="187">
        <f>A301</f>
        <v>101</v>
      </c>
      <c r="B381" s="175">
        <f>INPUT!BQ11</f>
        <v>94594968.220569268</v>
      </c>
      <c r="C381" s="175">
        <f>INPUT!BR11</f>
        <v>94594968.220569268</v>
      </c>
      <c r="D381" s="175">
        <f>INPUT!BS11</f>
        <v>104092098.67581166</v>
      </c>
      <c r="E381" s="175">
        <f>INPUT!BT11</f>
        <v>123240019.78823511</v>
      </c>
      <c r="F381" s="174">
        <f>IF(INPUT!CH11&lt;=0,(INPUT!AP11/10^6-G301/B381-H301/C381-I301/D381)*E381,-(INPUT!AO11/10^6+G301/B381+H301/C381+I301/D381)*E381)</f>
        <v>-46716.135249360021</v>
      </c>
      <c r="G381" s="175">
        <f>INPUT!BU11</f>
        <v>102289002.70150694</v>
      </c>
      <c r="H381" s="175">
        <f>INPUT!BV11</f>
        <v>102289002.70150694</v>
      </c>
      <c r="I381" s="175">
        <f>INPUT!BW11</f>
        <v>105151259.22625338</v>
      </c>
      <c r="J381" s="175">
        <f>INPUT!BX11</f>
        <v>109913620.18406133</v>
      </c>
      <c r="K381" s="174">
        <f>IF(INPUT!CH11&lt;=0,(INPUT!AO11/10^6-G301/G381-H301/H381-I301/I381)*J381,-(INPUT!AP11/10^6+G301/G381+H301/H381+I301/I381)*J381)</f>
        <v>-41669.926399814278</v>
      </c>
      <c r="L381" s="343">
        <f>MIN(ABS(F381),ABS(K381))</f>
        <v>41669.926399814278</v>
      </c>
      <c r="M381" s="343">
        <f>ABS(G301+H301+I301)+L381</f>
        <v>41761.35544485732</v>
      </c>
      <c r="N381" s="282">
        <f>(M381-N207)/N207</f>
        <v>-0.1503350135555645</v>
      </c>
    </row>
    <row r="382">
      <c r="A382" s="187">
        <f>A302</f>
        <v>101</v>
      </c>
      <c r="B382" s="175">
        <f>INPUT!BQ12</f>
        <v>94594968.220569268</v>
      </c>
      <c r="C382" s="175">
        <f>INPUT!BR12</f>
        <v>94594968.220569268</v>
      </c>
      <c r="D382" s="175">
        <f>INPUT!BS12</f>
        <v>104092098.67581166</v>
      </c>
      <c r="E382" s="175">
        <f>INPUT!BT12</f>
        <v>123240019.78823511</v>
      </c>
      <c r="F382" s="174">
        <f>IF(INPUT!CH12&lt;=0,(INPUT!AP12/10^6-G302/B382-H302/C382-I302/D382)*E382,-(INPUT!AO12/10^6+G302/B382+H302/C382+I302/D382)*E382)</f>
        <v>-46716.135249360021</v>
      </c>
      <c r="G382" s="175">
        <f>INPUT!BU12</f>
        <v>102289002.70150694</v>
      </c>
      <c r="H382" s="175">
        <f>INPUT!BV12</f>
        <v>102289002.70150694</v>
      </c>
      <c r="I382" s="175">
        <f>INPUT!BW12</f>
        <v>105151259.22625338</v>
      </c>
      <c r="J382" s="175">
        <f>INPUT!BX12</f>
        <v>109913620.18406133</v>
      </c>
      <c r="K382" s="174">
        <f>IF(INPUT!CH12&lt;=0,(INPUT!AO12/10^6-G302/G382-H302/H382-I302/I382)*J382,-(INPUT!AP12/10^6+G302/G382+H302/H382+I302/I382)*J382)</f>
        <v>-41669.926399814278</v>
      </c>
      <c r="L382" s="343">
        <f>MIN(ABS(F382),ABS(K382))</f>
        <v>41669.926399814278</v>
      </c>
      <c r="M382" s="343">
        <f>ABS(G302+H302+I302)+L382</f>
        <v>41761.35544485732</v>
      </c>
      <c r="N382" s="282">
        <f>(M382-N208)/N208</f>
        <v>-0.1503350135555645</v>
      </c>
    </row>
    <row r="383">
      <c r="A383" s="187">
        <f>A303</f>
        <v>101</v>
      </c>
      <c r="B383" s="175">
        <f>INPUT!BQ13</f>
        <v>94594968.220569268</v>
      </c>
      <c r="C383" s="175">
        <f>INPUT!BR13</f>
        <v>94594968.220569268</v>
      </c>
      <c r="D383" s="175">
        <f>INPUT!BS13</f>
        <v>104092098.67581166</v>
      </c>
      <c r="E383" s="175">
        <f>INPUT!BT13</f>
        <v>123240019.78823511</v>
      </c>
      <c r="F383" s="174">
        <f>IF(INPUT!CH13&lt;=0,(INPUT!AP13/10^6-G303/B383-H303/C383-I303/D383)*E383,-(INPUT!AO13/10^6+G303/B383+H303/C383+I303/D383)*E383)</f>
        <v>-46716.135249360021</v>
      </c>
      <c r="G383" s="175">
        <f>INPUT!BU13</f>
        <v>102289002.70150694</v>
      </c>
      <c r="H383" s="175">
        <f>INPUT!BV13</f>
        <v>102289002.70150694</v>
      </c>
      <c r="I383" s="175">
        <f>INPUT!BW13</f>
        <v>105151259.22625338</v>
      </c>
      <c r="J383" s="175">
        <f>INPUT!BX13</f>
        <v>109913620.18406133</v>
      </c>
      <c r="K383" s="174">
        <f>IF(INPUT!CH13&lt;=0,(INPUT!AO13/10^6-G303/G383-H303/H383-I303/I383)*J383,-(INPUT!AP13/10^6+G303/G383+H303/H383+I303/I383)*J383)</f>
        <v>-41669.926399814278</v>
      </c>
      <c r="L383" s="343">
        <f>MIN(ABS(F383),ABS(K383))</f>
        <v>41669.926399814278</v>
      </c>
      <c r="M383" s="343">
        <f>ABS(G303+H303+I303)+L383</f>
        <v>41761.35544485732</v>
      </c>
      <c r="N383" s="282">
        <f>(M383-N209)/N209</f>
        <v>-0.1503350135555645</v>
      </c>
    </row>
    <row r="384">
      <c r="A384" s="187">
        <f>A304</f>
        <v>101</v>
      </c>
      <c r="B384" s="175">
        <f>INPUT!BQ14</f>
        <v>94594968.220569268</v>
      </c>
      <c r="C384" s="175">
        <f>INPUT!BR14</f>
        <v>94594968.220569268</v>
      </c>
      <c r="D384" s="175">
        <f>INPUT!BS14</f>
        <v>104092098.67581166</v>
      </c>
      <c r="E384" s="175">
        <f>INPUT!BT14</f>
        <v>123240019.78823511</v>
      </c>
      <c r="F384" s="174">
        <f>IF(INPUT!CH14&lt;=0,(INPUT!AP14/10^6-G304/B384-H304/C384-I304/D384)*E384,-(INPUT!AO14/10^6+G304/B384+H304/C384+I304/D384)*E384)</f>
        <v>-46716.135249360021</v>
      </c>
      <c r="G384" s="175">
        <f>INPUT!BU14</f>
        <v>102289002.70150694</v>
      </c>
      <c r="H384" s="175">
        <f>INPUT!BV14</f>
        <v>102289002.70150694</v>
      </c>
      <c r="I384" s="175">
        <f>INPUT!BW14</f>
        <v>105151259.22625338</v>
      </c>
      <c r="J384" s="175">
        <f>INPUT!BX14</f>
        <v>109913620.18406133</v>
      </c>
      <c r="K384" s="174">
        <f>IF(INPUT!CH14&lt;=0,(INPUT!AO14/10^6-G304/G384-H304/H384-I304/I384)*J384,-(INPUT!AP14/10^6+G304/G384+H304/H384+I304/I384)*J384)</f>
        <v>-41669.926399814278</v>
      </c>
      <c r="L384" s="343">
        <f>MIN(ABS(F384),ABS(K384))</f>
        <v>41669.926399814278</v>
      </c>
      <c r="M384" s="343">
        <f>ABS(G304+H304+I304)+L384</f>
        <v>41761.35544485732</v>
      </c>
      <c r="N384" s="282">
        <f>(M384-N210)/N210</f>
        <v>-0.1503350135555645</v>
      </c>
    </row>
    <row r="385">
      <c r="A385" s="187">
        <f>A305</f>
        <v>101</v>
      </c>
      <c r="B385" s="175">
        <f>INPUT!BQ15</f>
        <v>94594968.220569268</v>
      </c>
      <c r="C385" s="175">
        <f>INPUT!BR15</f>
        <v>94594968.220569268</v>
      </c>
      <c r="D385" s="175">
        <f>INPUT!BS15</f>
        <v>104092098.67581166</v>
      </c>
      <c r="E385" s="175">
        <f>INPUT!BT15</f>
        <v>123240019.78823511</v>
      </c>
      <c r="F385" s="174">
        <f>IF(INPUT!CH15&lt;=0,(INPUT!AP15/10^6-G305/B385-H305/C385-I305/D385)*E385,-(INPUT!AO15/10^6+G305/B385+H305/C385+I305/D385)*E385)</f>
        <v>-46716.135249360021</v>
      </c>
      <c r="G385" s="175">
        <f>INPUT!BU15</f>
        <v>102289002.70150694</v>
      </c>
      <c r="H385" s="175">
        <f>INPUT!BV15</f>
        <v>102289002.70150694</v>
      </c>
      <c r="I385" s="175">
        <f>INPUT!BW15</f>
        <v>105151259.22625338</v>
      </c>
      <c r="J385" s="175">
        <f>INPUT!BX15</f>
        <v>109913620.18406133</v>
      </c>
      <c r="K385" s="174">
        <f>IF(INPUT!CH15&lt;=0,(INPUT!AO15/10^6-G305/G385-H305/H385-I305/I385)*J385,-(INPUT!AP15/10^6+G305/G385+H305/H385+I305/I385)*J385)</f>
        <v>-41669.926399814278</v>
      </c>
      <c r="L385" s="343">
        <f>MIN(ABS(F385),ABS(K385))</f>
        <v>41669.926399814278</v>
      </c>
      <c r="M385" s="343">
        <f>ABS(G305+H305+I305)+L385</f>
        <v>41761.35544485732</v>
      </c>
      <c r="N385" s="282">
        <f>(M385-N211)/N211</f>
        <v>-0.1503350135555645</v>
      </c>
    </row>
    <row r="386">
      <c r="A386" s="187">
        <f>A306</f>
        <v>101</v>
      </c>
      <c r="B386" s="175">
        <f>INPUT!BQ16</f>
        <v>94594968.220569268</v>
      </c>
      <c r="C386" s="175">
        <f>INPUT!BR16</f>
        <v>94594968.220569268</v>
      </c>
      <c r="D386" s="175">
        <f>INPUT!BS16</f>
        <v>104092098.67581166</v>
      </c>
      <c r="E386" s="175">
        <f>INPUT!BT16</f>
        <v>123240019.78823511</v>
      </c>
      <c r="F386" s="174">
        <f>IF(INPUT!CH16&lt;=0,(INPUT!AP16/10^6-G306/B386-H306/C386-I306/D386)*E386,-(INPUT!AO16/10^6+G306/B386+H306/C386+I306/D386)*E386)</f>
        <v>-46716.135249360021</v>
      </c>
      <c r="G386" s="175">
        <f>INPUT!BU16</f>
        <v>102289002.70150694</v>
      </c>
      <c r="H386" s="175">
        <f>INPUT!BV16</f>
        <v>102289002.70150694</v>
      </c>
      <c r="I386" s="175">
        <f>INPUT!BW16</f>
        <v>105151259.22625338</v>
      </c>
      <c r="J386" s="175">
        <f>INPUT!BX16</f>
        <v>109913620.18406133</v>
      </c>
      <c r="K386" s="174">
        <f>IF(INPUT!CH16&lt;=0,(INPUT!AO16/10^6-G306/G386-H306/H386-I306/I386)*J386,-(INPUT!AP16/10^6+G306/G386+H306/H386+I306/I386)*J386)</f>
        <v>-41669.926399814278</v>
      </c>
      <c r="L386" s="343">
        <f>MIN(ABS(F386),ABS(K386))</f>
        <v>41669.926399814278</v>
      </c>
      <c r="M386" s="343">
        <f>ABS(G306+H306+I306)+L386</f>
        <v>41761.35544485732</v>
      </c>
      <c r="N386" s="282">
        <f>(M386-N212)/N212</f>
        <v>-0.1503350135555645</v>
      </c>
    </row>
    <row r="387">
      <c r="A387" s="187">
        <f>A307</f>
        <v>101</v>
      </c>
      <c r="B387" s="175">
        <f>INPUT!BQ17</f>
        <v>94594968.220569268</v>
      </c>
      <c r="C387" s="175">
        <f>INPUT!BR17</f>
        <v>94594968.220569268</v>
      </c>
      <c r="D387" s="175">
        <f>INPUT!BS17</f>
        <v>104092098.67581166</v>
      </c>
      <c r="E387" s="175">
        <f>INPUT!BT17</f>
        <v>123240019.78823511</v>
      </c>
      <c r="F387" s="174">
        <f>IF(INPUT!CH17&lt;=0,(INPUT!AP17/10^6-G307/B387-H307/C387-I307/D387)*E387,-(INPUT!AO17/10^6+G307/B387+H307/C387+I307/D387)*E387)</f>
        <v>-46716.135249360021</v>
      </c>
      <c r="G387" s="175">
        <f>INPUT!BU17</f>
        <v>102289002.70150694</v>
      </c>
      <c r="H387" s="175">
        <f>INPUT!BV17</f>
        <v>102289002.70150694</v>
      </c>
      <c r="I387" s="175">
        <f>INPUT!BW17</f>
        <v>105151259.22625338</v>
      </c>
      <c r="J387" s="175">
        <f>INPUT!BX17</f>
        <v>109913620.18406133</v>
      </c>
      <c r="K387" s="174">
        <f>IF(INPUT!CH17&lt;=0,(INPUT!AO17/10^6-G307/G387-H307/H387-I307/I387)*J387,-(INPUT!AP17/10^6+G307/G387+H307/H387+I307/I387)*J387)</f>
        <v>-41669.926399814278</v>
      </c>
      <c r="L387" s="343">
        <f>MIN(ABS(F387),ABS(K387))</f>
        <v>41669.926399814278</v>
      </c>
      <c r="M387" s="343">
        <f>ABS(G307+H307+I307)+L387</f>
        <v>41761.35544485732</v>
      </c>
      <c r="N387" s="282">
        <f>(M387-N213)/N213</f>
        <v>-0.1503350135555645</v>
      </c>
    </row>
    <row r="388">
      <c r="A388" s="187">
        <f>A308</f>
        <v>101</v>
      </c>
      <c r="B388" s="175">
        <f>INPUT!BQ18</f>
        <v>94594968.220569268</v>
      </c>
      <c r="C388" s="175">
        <f>INPUT!BR18</f>
        <v>94594968.220569268</v>
      </c>
      <c r="D388" s="175">
        <f>INPUT!BS18</f>
        <v>104092098.67581166</v>
      </c>
      <c r="E388" s="175">
        <f>INPUT!BT18</f>
        <v>123240019.78823511</v>
      </c>
      <c r="F388" s="174">
        <f>IF(INPUT!CH18&lt;=0,(INPUT!AP18/10^6-G308/B388-H308/C388-I308/D388)*E388,-(INPUT!AO18/10^6+G308/B388+H308/C388+I308/D388)*E388)</f>
        <v>-46716.135249360021</v>
      </c>
      <c r="G388" s="175">
        <f>INPUT!BU18</f>
        <v>102289002.70150694</v>
      </c>
      <c r="H388" s="175">
        <f>INPUT!BV18</f>
        <v>102289002.70150694</v>
      </c>
      <c r="I388" s="175">
        <f>INPUT!BW18</f>
        <v>105151259.22625338</v>
      </c>
      <c r="J388" s="175">
        <f>INPUT!BX18</f>
        <v>109913620.18406133</v>
      </c>
      <c r="K388" s="174">
        <f>IF(INPUT!CH18&lt;=0,(INPUT!AO18/10^6-G308/G388-H308/H388-I308/I388)*J388,-(INPUT!AP18/10^6+G308/G388+H308/H388+I308/I388)*J388)</f>
        <v>-41669.926399814278</v>
      </c>
      <c r="L388" s="343">
        <f>MIN(ABS(F388),ABS(K388))</f>
        <v>41669.926399814278</v>
      </c>
      <c r="M388" s="343">
        <f>ABS(G308+H308+I308)+L388</f>
        <v>41761.35544485732</v>
      </c>
      <c r="N388" s="282">
        <f>(M388-N214)/N214</f>
        <v>-0.1503350135555645</v>
      </c>
    </row>
    <row r="389">
      <c r="A389" s="187">
        <f>A309</f>
        <v>101</v>
      </c>
      <c r="B389" s="175">
        <f>INPUT!BQ19</f>
        <v>94594968.220569268</v>
      </c>
      <c r="C389" s="175">
        <f>INPUT!BR19</f>
        <v>94594968.220569268</v>
      </c>
      <c r="D389" s="175">
        <f>INPUT!BS19</f>
        <v>104092098.67581166</v>
      </c>
      <c r="E389" s="175">
        <f>INPUT!BT19</f>
        <v>123240019.78823511</v>
      </c>
      <c r="F389" s="174">
        <f>IF(INPUT!CH19&lt;=0,(INPUT!AP19/10^6-G309/B389-H309/C389-I309/D389)*E389,-(INPUT!AO19/10^6+G309/B389+H309/C389+I309/D389)*E389)</f>
        <v>-46716.135249360021</v>
      </c>
      <c r="G389" s="175">
        <f>INPUT!BU19</f>
        <v>102289002.70150694</v>
      </c>
      <c r="H389" s="175">
        <f>INPUT!BV19</f>
        <v>102289002.70150694</v>
      </c>
      <c r="I389" s="175">
        <f>INPUT!BW19</f>
        <v>105151259.22625338</v>
      </c>
      <c r="J389" s="175">
        <f>INPUT!BX19</f>
        <v>109913620.18406133</v>
      </c>
      <c r="K389" s="174">
        <f>IF(INPUT!CH19&lt;=0,(INPUT!AO19/10^6-G309/G389-H309/H389-I309/I389)*J389,-(INPUT!AP19/10^6+G309/G389+H309/H389+I309/I389)*J389)</f>
        <v>-41669.926399814278</v>
      </c>
      <c r="L389" s="343">
        <f>MIN(ABS(F389),ABS(K389))</f>
        <v>41669.926399814278</v>
      </c>
      <c r="M389" s="343">
        <f>ABS(G309+H309+I309)+L389</f>
        <v>41761.35544485732</v>
      </c>
      <c r="N389" s="282">
        <f>(M389-N215)/N215</f>
        <v>-0.1503350135555645</v>
      </c>
    </row>
    <row r="390">
      <c r="A390" s="187">
        <f>A310</f>
        <v>101</v>
      </c>
      <c r="B390" s="175">
        <f>INPUT!BQ20</f>
        <v>94594968.220569268</v>
      </c>
      <c r="C390" s="175">
        <f>INPUT!BR20</f>
        <v>94594968.220569268</v>
      </c>
      <c r="D390" s="175">
        <f>INPUT!BS20</f>
        <v>104092098.67581166</v>
      </c>
      <c r="E390" s="175">
        <f>INPUT!BT20</f>
        <v>123240019.78823511</v>
      </c>
      <c r="F390" s="174">
        <f>IF(INPUT!CH20&lt;=0,(INPUT!AP20/10^6-G310/B390-H310/C390-I310/D390)*E390,-(INPUT!AO20/10^6+G310/B390+H310/C390+I310/D390)*E390)</f>
        <v>-46716.135249360021</v>
      </c>
      <c r="G390" s="175">
        <f>INPUT!BU20</f>
        <v>102289002.70150694</v>
      </c>
      <c r="H390" s="175">
        <f>INPUT!BV20</f>
        <v>102289002.70150694</v>
      </c>
      <c r="I390" s="175">
        <f>INPUT!BW20</f>
        <v>105151259.22625338</v>
      </c>
      <c r="J390" s="175">
        <f>INPUT!BX20</f>
        <v>109913620.18406133</v>
      </c>
      <c r="K390" s="174">
        <f>IF(INPUT!CH20&lt;=0,(INPUT!AO20/10^6-G310/G390-H310/H390-I310/I390)*J390,-(INPUT!AP20/10^6+G310/G390+H310/H390+I310/I390)*J390)</f>
        <v>-41669.926399814278</v>
      </c>
      <c r="L390" s="343">
        <f>MIN(ABS(F390),ABS(K390))</f>
        <v>41669.926399814278</v>
      </c>
      <c r="M390" s="343">
        <f>ABS(G310+H310+I310)+L390</f>
        <v>41761.35544485732</v>
      </c>
      <c r="N390" s="282">
        <f>(M390-N216)/N216</f>
        <v>-0.1503350135555645</v>
      </c>
    </row>
    <row r="391">
      <c r="A391" s="187">
        <f>A311</f>
        <v>101</v>
      </c>
      <c r="B391" s="175">
        <f>INPUT!BQ21</f>
        <v>94594968.220569268</v>
      </c>
      <c r="C391" s="175">
        <f>INPUT!BR21</f>
        <v>94594968.220569268</v>
      </c>
      <c r="D391" s="175">
        <f>INPUT!BS21</f>
        <v>104092098.67581166</v>
      </c>
      <c r="E391" s="175">
        <f>INPUT!BT21</f>
        <v>123240019.78823511</v>
      </c>
      <c r="F391" s="174">
        <f>IF(INPUT!CH21&lt;=0,(INPUT!AP21/10^6-G311/B391-H311/C391-I311/D391)*E391,-(INPUT!AO21/10^6+G311/B391+H311/C391+I311/D391)*E391)</f>
        <v>-46716.135249360021</v>
      </c>
      <c r="G391" s="175">
        <f>INPUT!BU21</f>
        <v>102289002.70150694</v>
      </c>
      <c r="H391" s="175">
        <f>INPUT!BV21</f>
        <v>102289002.70150694</v>
      </c>
      <c r="I391" s="175">
        <f>INPUT!BW21</f>
        <v>105151259.22625338</v>
      </c>
      <c r="J391" s="175">
        <f>INPUT!BX21</f>
        <v>109913620.18406133</v>
      </c>
      <c r="K391" s="174">
        <f>IF(INPUT!CH21&lt;=0,(INPUT!AO21/10^6-G311/G391-H311/H391-I311/I391)*J391,-(INPUT!AP21/10^6+G311/G391+H311/H391+I311/I391)*J391)</f>
        <v>-41669.926399814278</v>
      </c>
      <c r="L391" s="343">
        <f>MIN(ABS(F391),ABS(K391))</f>
        <v>41669.926399814278</v>
      </c>
      <c r="M391" s="343">
        <f>ABS(G311+H311+I311)+L391</f>
        <v>41761.35544485732</v>
      </c>
      <c r="N391" s="282">
        <f>(M391-N217)/N217</f>
        <v>-0.1503350135555645</v>
      </c>
    </row>
    <row r="392">
      <c r="A392" s="187">
        <f>A312</f>
        <v>101</v>
      </c>
      <c r="B392" s="175">
        <f>INPUT!BQ22</f>
        <v>94594968.220569268</v>
      </c>
      <c r="C392" s="175">
        <f>INPUT!BR22</f>
        <v>94594968.220569268</v>
      </c>
      <c r="D392" s="175">
        <f>INPUT!BS22</f>
        <v>104092098.67581166</v>
      </c>
      <c r="E392" s="175">
        <f>INPUT!BT22</f>
        <v>123240019.78823511</v>
      </c>
      <c r="F392" s="174">
        <f>IF(INPUT!CH22&lt;=0,(INPUT!AP22/10^6-G312/B392-H312/C392-I312/D392)*E392,-(INPUT!AO22/10^6+G312/B392+H312/C392+I312/D392)*E392)</f>
        <v>-46716.135249360021</v>
      </c>
      <c r="G392" s="175">
        <f>INPUT!BU22</f>
        <v>102289002.70150694</v>
      </c>
      <c r="H392" s="175">
        <f>INPUT!BV22</f>
        <v>102289002.70150694</v>
      </c>
      <c r="I392" s="175">
        <f>INPUT!BW22</f>
        <v>105151259.22625338</v>
      </c>
      <c r="J392" s="175">
        <f>INPUT!BX22</f>
        <v>109913620.18406133</v>
      </c>
      <c r="K392" s="174">
        <f>IF(INPUT!CH22&lt;=0,(INPUT!AO22/10^6-G312/G392-H312/H392-I312/I392)*J392,-(INPUT!AP22/10^6+G312/G392+H312/H392+I312/I392)*J392)</f>
        <v>-41669.926399814278</v>
      </c>
      <c r="L392" s="343">
        <f>MIN(ABS(F392),ABS(K392))</f>
        <v>41669.926399814278</v>
      </c>
      <c r="M392" s="343">
        <f>ABS(G312+H312+I312)+L392</f>
        <v>41761.35544485732</v>
      </c>
      <c r="N392" s="282">
        <f>(M392-N218)/N218</f>
        <v>-0.1503350135555645</v>
      </c>
    </row>
    <row r="393">
      <c r="A393" s="187">
        <f>A313</f>
        <v>101</v>
      </c>
      <c r="B393" s="175">
        <f>INPUT!BQ23</f>
        <v>94594968.220569268</v>
      </c>
      <c r="C393" s="175">
        <f>INPUT!BR23</f>
        <v>94594968.220569268</v>
      </c>
      <c r="D393" s="175">
        <f>INPUT!BS23</f>
        <v>104092098.67581166</v>
      </c>
      <c r="E393" s="175">
        <f>INPUT!BT23</f>
        <v>123240019.78823511</v>
      </c>
      <c r="F393" s="174">
        <f>IF(INPUT!CH23&lt;=0,(INPUT!AP23/10^6-G313/B393-H313/C393-I313/D393)*E393,-(INPUT!AO23/10^6+G313/B393+H313/C393+I313/D393)*E393)</f>
        <v>-46716.135249360021</v>
      </c>
      <c r="G393" s="175">
        <f>INPUT!BU23</f>
        <v>102289002.70150694</v>
      </c>
      <c r="H393" s="175">
        <f>INPUT!BV23</f>
        <v>102289002.70150694</v>
      </c>
      <c r="I393" s="175">
        <f>INPUT!BW23</f>
        <v>105151259.22625338</v>
      </c>
      <c r="J393" s="175">
        <f>INPUT!BX23</f>
        <v>109913620.18406133</v>
      </c>
      <c r="K393" s="174">
        <f>IF(INPUT!CH23&lt;=0,(INPUT!AO23/10^6-G313/G393-H313/H393-I313/I393)*J393,-(INPUT!AP23/10^6+G313/G393+H313/H393+I313/I393)*J393)</f>
        <v>-41669.926399814278</v>
      </c>
      <c r="L393" s="343">
        <f>MIN(ABS(F393),ABS(K393))</f>
        <v>41669.926399814278</v>
      </c>
      <c r="M393" s="343">
        <f>ABS(G313+H313+I313)+L393</f>
        <v>41761.35544485732</v>
      </c>
      <c r="N393" s="282">
        <f>(M393-N219)/N219</f>
        <v>-0.1503350135555645</v>
      </c>
    </row>
    <row r="394">
      <c r="A394" s="187">
        <f>A314</f>
        <v>101</v>
      </c>
      <c r="B394" s="175">
        <f>INPUT!BQ24</f>
        <v>94594968.220569268</v>
      </c>
      <c r="C394" s="175">
        <f>INPUT!BR24</f>
        <v>94594968.220569268</v>
      </c>
      <c r="D394" s="175">
        <f>INPUT!BS24</f>
        <v>104092098.67581166</v>
      </c>
      <c r="E394" s="175">
        <f>INPUT!BT24</f>
        <v>123240019.78823511</v>
      </c>
      <c r="F394" s="174">
        <f>IF(INPUT!CH24&lt;=0,(INPUT!AP24/10^6-G314/B394-H314/C394-I314/D394)*E394,-(INPUT!AO24/10^6+G314/B394+H314/C394+I314/D394)*E394)</f>
        <v>-46716.135249360021</v>
      </c>
      <c r="G394" s="175">
        <f>INPUT!BU24</f>
        <v>102289002.70150694</v>
      </c>
      <c r="H394" s="175">
        <f>INPUT!BV24</f>
        <v>102289002.70150694</v>
      </c>
      <c r="I394" s="175">
        <f>INPUT!BW24</f>
        <v>105151259.22625338</v>
      </c>
      <c r="J394" s="175">
        <f>INPUT!BX24</f>
        <v>109913620.18406133</v>
      </c>
      <c r="K394" s="174">
        <f>IF(INPUT!CH24&lt;=0,(INPUT!AO24/10^6-G314/G394-H314/H394-I314/I394)*J394,-(INPUT!AP24/10^6+G314/G394+H314/H394+I314/I394)*J394)</f>
        <v>-41669.926399814278</v>
      </c>
      <c r="L394" s="343">
        <f>MIN(ABS(F394),ABS(K394))</f>
        <v>41669.926399814278</v>
      </c>
      <c r="M394" s="343">
        <f>ABS(G314+H314+I314)+L394</f>
        <v>41761.35544485732</v>
      </c>
      <c r="N394" s="282">
        <f>(M394-N220)/N220</f>
        <v>-0.1503350135555645</v>
      </c>
    </row>
    <row r="395">
      <c r="A395" s="187">
        <f>A315</f>
        <v>101</v>
      </c>
      <c r="B395" s="175">
        <f>INPUT!BQ25</f>
        <v>94594968.220569268</v>
      </c>
      <c r="C395" s="175">
        <f>INPUT!BR25</f>
        <v>94594968.220569268</v>
      </c>
      <c r="D395" s="175">
        <f>INPUT!BS25</f>
        <v>104092098.67581166</v>
      </c>
      <c r="E395" s="175">
        <f>INPUT!BT25</f>
        <v>123240019.78823511</v>
      </c>
      <c r="F395" s="174">
        <f>IF(INPUT!CH25&lt;=0,(INPUT!AP25/10^6-G315/B395-H315/C395-I315/D395)*E395,-(INPUT!AO25/10^6+G315/B395+H315/C395+I315/D395)*E395)</f>
        <v>-46716.135249360021</v>
      </c>
      <c r="G395" s="175">
        <f>INPUT!BU25</f>
        <v>102289002.70150694</v>
      </c>
      <c r="H395" s="175">
        <f>INPUT!BV25</f>
        <v>102289002.70150694</v>
      </c>
      <c r="I395" s="175">
        <f>INPUT!BW25</f>
        <v>105151259.22625338</v>
      </c>
      <c r="J395" s="175">
        <f>INPUT!BX25</f>
        <v>109913620.18406133</v>
      </c>
      <c r="K395" s="174">
        <f>IF(INPUT!CH25&lt;=0,(INPUT!AO25/10^6-G315/G395-H315/H395-I315/I395)*J395,-(INPUT!AP25/10^6+G315/G395+H315/H395+I315/I395)*J395)</f>
        <v>-41669.926399814278</v>
      </c>
      <c r="L395" s="343">
        <f>MIN(ABS(F395),ABS(K395))</f>
        <v>41669.926399814278</v>
      </c>
      <c r="M395" s="343">
        <f>ABS(G315+H315+I315)+L395</f>
        <v>41761.35544485732</v>
      </c>
      <c r="N395" s="282">
        <f>(M395-N221)/N221</f>
        <v>-0.1503350135555645</v>
      </c>
    </row>
    <row r="396">
      <c r="A396" s="187">
        <f>A316</f>
        <v>101</v>
      </c>
      <c r="B396" s="175">
        <f>INPUT!BQ26</f>
        <v>94594968.220569268</v>
      </c>
      <c r="C396" s="175">
        <f>INPUT!BR26</f>
        <v>94594968.220569268</v>
      </c>
      <c r="D396" s="175">
        <f>INPUT!BS26</f>
        <v>104092098.67581166</v>
      </c>
      <c r="E396" s="175">
        <f>INPUT!BT26</f>
        <v>123240019.78823511</v>
      </c>
      <c r="F396" s="174">
        <f>IF(INPUT!CH26&lt;=0,(INPUT!AP26/10^6-G316/B396-H316/C396-I316/D396)*E396,-(INPUT!AO26/10^6+G316/B396+H316/C396+I316/D396)*E396)</f>
        <v>-46716.135249360021</v>
      </c>
      <c r="G396" s="175">
        <f>INPUT!BU26</f>
        <v>102289002.70150694</v>
      </c>
      <c r="H396" s="175">
        <f>INPUT!BV26</f>
        <v>102289002.70150694</v>
      </c>
      <c r="I396" s="175">
        <f>INPUT!BW26</f>
        <v>105151259.22625338</v>
      </c>
      <c r="J396" s="175">
        <f>INPUT!BX26</f>
        <v>109913620.18406133</v>
      </c>
      <c r="K396" s="174">
        <f>IF(INPUT!CH26&lt;=0,(INPUT!AO26/10^6-G316/G396-H316/H396-I316/I396)*J396,-(INPUT!AP26/10^6+G316/G396+H316/H396+I316/I396)*J396)</f>
        <v>-41669.926399814278</v>
      </c>
      <c r="L396" s="343">
        <f>MIN(ABS(F396),ABS(K396))</f>
        <v>41669.926399814278</v>
      </c>
      <c r="M396" s="343">
        <f>ABS(G316+H316+I316)+L396</f>
        <v>41761.35544485732</v>
      </c>
      <c r="N396" s="282">
        <f>(M396-N222)/N222</f>
        <v>-0.1503350135555645</v>
      </c>
    </row>
    <row r="397">
      <c r="A397" s="187">
        <f>A317</f>
        <v>101</v>
      </c>
      <c r="B397" s="175">
        <f>INPUT!BQ27</f>
        <v>94594968.220569268</v>
      </c>
      <c r="C397" s="175">
        <f>INPUT!BR27</f>
        <v>94594968.220569268</v>
      </c>
      <c r="D397" s="175">
        <f>INPUT!BS27</f>
        <v>104092098.67581166</v>
      </c>
      <c r="E397" s="175">
        <f>INPUT!BT27</f>
        <v>123240019.78823511</v>
      </c>
      <c r="F397" s="174">
        <f>IF(INPUT!CH27&lt;=0,(INPUT!AP27/10^6-G317/B397-H317/C397-I317/D397)*E397,-(INPUT!AO27/10^6+G317/B397+H317/C397+I317/D397)*E397)</f>
        <v>-46716.135249360021</v>
      </c>
      <c r="G397" s="175">
        <f>INPUT!BU27</f>
        <v>102289002.70150694</v>
      </c>
      <c r="H397" s="175">
        <f>INPUT!BV27</f>
        <v>102289002.70150694</v>
      </c>
      <c r="I397" s="175">
        <f>INPUT!BW27</f>
        <v>105151259.22625338</v>
      </c>
      <c r="J397" s="175">
        <f>INPUT!BX27</f>
        <v>109913620.18406133</v>
      </c>
      <c r="K397" s="174">
        <f>IF(INPUT!CH27&lt;=0,(INPUT!AO27/10^6-G317/G397-H317/H397-I317/I397)*J397,-(INPUT!AP27/10^6+G317/G397+H317/H397+I317/I397)*J397)</f>
        <v>-41669.926399814278</v>
      </c>
      <c r="L397" s="343">
        <f>MIN(ABS(F397),ABS(K397))</f>
        <v>41669.926399814278</v>
      </c>
      <c r="M397" s="343">
        <f>ABS(G317+H317+I317)+L397</f>
        <v>41761.35544485732</v>
      </c>
      <c r="N397" s="282">
        <f>(M397-N223)/N223</f>
        <v>-0.1503350135555645</v>
      </c>
    </row>
    <row r="398">
      <c r="A398" s="187">
        <f>A318</f>
        <v>101</v>
      </c>
      <c r="B398" s="175">
        <f>INPUT!BQ28</f>
        <v>94594968.220569268</v>
      </c>
      <c r="C398" s="175">
        <f>INPUT!BR28</f>
        <v>94594968.220569268</v>
      </c>
      <c r="D398" s="175">
        <f>INPUT!BS28</f>
        <v>104092098.67581166</v>
      </c>
      <c r="E398" s="175">
        <f>INPUT!BT28</f>
        <v>123240019.78823511</v>
      </c>
      <c r="F398" s="174">
        <f>IF(INPUT!CH28&lt;=0,(INPUT!AP28/10^6-G318/B398-H318/C398-I318/D398)*E398,-(INPUT!AO28/10^6+G318/B398+H318/C398+I318/D398)*E398)</f>
        <v>-46716.135249360021</v>
      </c>
      <c r="G398" s="175">
        <f>INPUT!BU28</f>
        <v>102289002.70150694</v>
      </c>
      <c r="H398" s="175">
        <f>INPUT!BV28</f>
        <v>102289002.70150694</v>
      </c>
      <c r="I398" s="175">
        <f>INPUT!BW28</f>
        <v>105151259.22625338</v>
      </c>
      <c r="J398" s="175">
        <f>INPUT!BX28</f>
        <v>109913620.18406133</v>
      </c>
      <c r="K398" s="174">
        <f>IF(INPUT!CH28&lt;=0,(INPUT!AO28/10^6-G318/G398-H318/H398-I318/I398)*J398,-(INPUT!AP28/10^6+G318/G398+H318/H398+I318/I398)*J398)</f>
        <v>-41669.926399814278</v>
      </c>
      <c r="L398" s="343">
        <f>MIN(ABS(F398),ABS(K398))</f>
        <v>41669.926399814278</v>
      </c>
      <c r="M398" s="343">
        <f>ABS(G318+H318+I318)+L398</f>
        <v>41761.35544485732</v>
      </c>
      <c r="N398" s="282">
        <f>(M398-N224)/N224</f>
        <v>-0.1503350135555645</v>
      </c>
    </row>
    <row r="399">
      <c r="A399" s="187">
        <f>A319</f>
        <v>101</v>
      </c>
      <c r="B399" s="175">
        <f>INPUT!BQ29</f>
        <v>94594968.220569268</v>
      </c>
      <c r="C399" s="175">
        <f>INPUT!BR29</f>
        <v>94594968.220569268</v>
      </c>
      <c r="D399" s="175">
        <f>INPUT!BS29</f>
        <v>104092098.67581166</v>
      </c>
      <c r="E399" s="175">
        <f>INPUT!BT29</f>
        <v>123240019.78823511</v>
      </c>
      <c r="F399" s="174">
        <f>IF(INPUT!CH29&lt;=0,(INPUT!AP29/10^6-G319/B399-H319/C399-I319/D399)*E399,-(INPUT!AO29/10^6+G319/B399+H319/C399+I319/D399)*E399)</f>
        <v>-46716.135249360021</v>
      </c>
      <c r="G399" s="175">
        <f>INPUT!BU29</f>
        <v>102289002.70150694</v>
      </c>
      <c r="H399" s="175">
        <f>INPUT!BV29</f>
        <v>102289002.70150694</v>
      </c>
      <c r="I399" s="175">
        <f>INPUT!BW29</f>
        <v>105151259.22625338</v>
      </c>
      <c r="J399" s="175">
        <f>INPUT!BX29</f>
        <v>109913620.18406133</v>
      </c>
      <c r="K399" s="174">
        <f>IF(INPUT!CH29&lt;=0,(INPUT!AO29/10^6-G319/G399-H319/H399-I319/I399)*J399,-(INPUT!AP29/10^6+G319/G399+H319/H399+I319/I399)*J399)</f>
        <v>-41669.926399814278</v>
      </c>
      <c r="L399" s="343">
        <f>MIN(ABS(F399),ABS(K399))</f>
        <v>41669.926399814278</v>
      </c>
      <c r="M399" s="343">
        <f>ABS(G319+H319+I319)+L399</f>
        <v>41761.35544485732</v>
      </c>
      <c r="N399" s="282">
        <f>(M399-N225)/N225</f>
        <v>-0.1503350135555645</v>
      </c>
    </row>
    <row r="400">
      <c r="A400" s="187">
        <f>A320</f>
        <v>101</v>
      </c>
      <c r="B400" s="175">
        <f>INPUT!BQ30</f>
        <v>94594968.220569268</v>
      </c>
      <c r="C400" s="175">
        <f>INPUT!BR30</f>
        <v>94594968.220569268</v>
      </c>
      <c r="D400" s="175">
        <f>INPUT!BS30</f>
        <v>104092098.67581166</v>
      </c>
      <c r="E400" s="175">
        <f>INPUT!BT30</f>
        <v>123240019.78823511</v>
      </c>
      <c r="F400" s="174">
        <f>IF(INPUT!CH30&lt;=0,(INPUT!AP30/10^6-G320/B400-H320/C400-I320/D400)*E400,-(INPUT!AO30/10^6+G320/B400+H320/C400+I320/D400)*E400)</f>
        <v>-46716.135249360021</v>
      </c>
      <c r="G400" s="175">
        <f>INPUT!BU30</f>
        <v>102289002.70150694</v>
      </c>
      <c r="H400" s="175">
        <f>INPUT!BV30</f>
        <v>102289002.70150694</v>
      </c>
      <c r="I400" s="175">
        <f>INPUT!BW30</f>
        <v>105151259.22625338</v>
      </c>
      <c r="J400" s="175">
        <f>INPUT!BX30</f>
        <v>109913620.18406133</v>
      </c>
      <c r="K400" s="174">
        <f>IF(INPUT!CH30&lt;=0,(INPUT!AO30/10^6-G320/G400-H320/H400-I320/I400)*J400,-(INPUT!AP30/10^6+G320/G400+H320/H400+I320/I400)*J400)</f>
        <v>-41669.926399814278</v>
      </c>
      <c r="L400" s="343">
        <f>MIN(ABS(F400),ABS(K400))</f>
        <v>41669.926399814278</v>
      </c>
      <c r="M400" s="343">
        <f>ABS(G320+H320+I320)+L400</f>
        <v>41761.35544485732</v>
      </c>
      <c r="N400" s="282">
        <f>(M400-N226)/N226</f>
        <v>-0.1503350135555645</v>
      </c>
    </row>
    <row r="401">
      <c r="A401" s="187">
        <f>A321</f>
        <v>101</v>
      </c>
      <c r="B401" s="175">
        <f>INPUT!BQ31</f>
        <v>94594968.220569268</v>
      </c>
      <c r="C401" s="175">
        <f>INPUT!BR31</f>
        <v>94594968.220569268</v>
      </c>
      <c r="D401" s="175">
        <f>INPUT!BS31</f>
        <v>104092098.67581166</v>
      </c>
      <c r="E401" s="175">
        <f>INPUT!BT31</f>
        <v>123240019.78823511</v>
      </c>
      <c r="F401" s="174">
        <f>IF(INPUT!CH31&lt;=0,(INPUT!AP31/10^6-G321/B401-H321/C401-I321/D401)*E401,-(INPUT!AO31/10^6+G321/B401+H321/C401+I321/D401)*E401)</f>
        <v>-46716.135249360021</v>
      </c>
      <c r="G401" s="175">
        <f>INPUT!BU31</f>
        <v>102289002.70150694</v>
      </c>
      <c r="H401" s="175">
        <f>INPUT!BV31</f>
        <v>102289002.70150694</v>
      </c>
      <c r="I401" s="175">
        <f>INPUT!BW31</f>
        <v>105151259.22625338</v>
      </c>
      <c r="J401" s="175">
        <f>INPUT!BX31</f>
        <v>109913620.18406133</v>
      </c>
      <c r="K401" s="174">
        <f>IF(INPUT!CH31&lt;=0,(INPUT!AO31/10^6-G321/G401-H321/H401-I321/I401)*J401,-(INPUT!AP31/10^6+G321/G401+H321/H401+I321/I401)*J401)</f>
        <v>-41669.926399814278</v>
      </c>
      <c r="L401" s="343">
        <f>MIN(ABS(F401),ABS(K401))</f>
        <v>41669.926399814278</v>
      </c>
      <c r="M401" s="343">
        <f>ABS(G321+H321+I321)+L401</f>
        <v>41761.35544485732</v>
      </c>
      <c r="N401" s="282">
        <f>(M401-N227)/N227</f>
        <v>-0.1503350135555645</v>
      </c>
    </row>
    <row r="402">
      <c r="A402" s="187">
        <f>A322</f>
        <v>101</v>
      </c>
      <c r="B402" s="175">
        <f>INPUT!BQ32</f>
        <v>94594968.220569268</v>
      </c>
      <c r="C402" s="175">
        <f>INPUT!BR32</f>
        <v>94594968.220569268</v>
      </c>
      <c r="D402" s="175">
        <f>INPUT!BS32</f>
        <v>104092098.67581166</v>
      </c>
      <c r="E402" s="175">
        <f>INPUT!BT32</f>
        <v>123240019.78823511</v>
      </c>
      <c r="F402" s="174">
        <f>IF(INPUT!CH32&lt;=0,(INPUT!AP32/10^6-G322/B402-H322/C402-I322/D402)*E402,-(INPUT!AO32/10^6+G322/B402+H322/C402+I322/D402)*E402)</f>
        <v>-46716.135249360021</v>
      </c>
      <c r="G402" s="175">
        <f>INPUT!BU32</f>
        <v>102289002.70150694</v>
      </c>
      <c r="H402" s="175">
        <f>INPUT!BV32</f>
        <v>102289002.70150694</v>
      </c>
      <c r="I402" s="175">
        <f>INPUT!BW32</f>
        <v>105151259.22625338</v>
      </c>
      <c r="J402" s="175">
        <f>INPUT!BX32</f>
        <v>109913620.18406133</v>
      </c>
      <c r="K402" s="174">
        <f>IF(INPUT!CH32&lt;=0,(INPUT!AO32/10^6-G322/G402-H322/H402-I322/I402)*J402,-(INPUT!AP32/10^6+G322/G402+H322/H402+I322/I402)*J402)</f>
        <v>-41669.926399814278</v>
      </c>
      <c r="L402" s="343">
        <f>MIN(ABS(F402),ABS(K402))</f>
        <v>41669.926399814278</v>
      </c>
      <c r="M402" s="343">
        <f>ABS(G322+H322+I322)+L402</f>
        <v>41761.35544485732</v>
      </c>
      <c r="N402" s="282">
        <f>(M402-N228)/N228</f>
        <v>-0.1503350135555645</v>
      </c>
    </row>
    <row r="403">
      <c r="A403" s="187">
        <f>A323</f>
        <v>101</v>
      </c>
      <c r="B403" s="175">
        <f>INPUT!BQ33</f>
        <v>94594968.220569268</v>
      </c>
      <c r="C403" s="175">
        <f>INPUT!BR33</f>
        <v>94594968.220569268</v>
      </c>
      <c r="D403" s="175">
        <f>INPUT!BS33</f>
        <v>104092098.67581166</v>
      </c>
      <c r="E403" s="175">
        <f>INPUT!BT33</f>
        <v>123240019.78823511</v>
      </c>
      <c r="F403" s="174">
        <f>IF(INPUT!CH33&lt;=0,(INPUT!AP33/10^6-G323/B403-H323/C403-I323/D403)*E403,-(INPUT!AO33/10^6+G323/B403+H323/C403+I323/D403)*E403)</f>
        <v>-46716.135249360021</v>
      </c>
      <c r="G403" s="175">
        <f>INPUT!BU33</f>
        <v>102289002.70150694</v>
      </c>
      <c r="H403" s="175">
        <f>INPUT!BV33</f>
        <v>102289002.70150694</v>
      </c>
      <c r="I403" s="175">
        <f>INPUT!BW33</f>
        <v>105151259.22625338</v>
      </c>
      <c r="J403" s="175">
        <f>INPUT!BX33</f>
        <v>109913620.18406133</v>
      </c>
      <c r="K403" s="174">
        <f>IF(INPUT!CH33&lt;=0,(INPUT!AO33/10^6-G323/G403-H323/H403-I323/I403)*J403,-(INPUT!AP33/10^6+G323/G403+H323/H403+I323/I403)*J403)</f>
        <v>-41669.926399814278</v>
      </c>
      <c r="L403" s="343">
        <f>MIN(ABS(F403),ABS(K403))</f>
        <v>41669.926399814278</v>
      </c>
      <c r="M403" s="343">
        <f>ABS(G323+H323+I323)+L403</f>
        <v>41761.35544485732</v>
      </c>
      <c r="N403" s="282">
        <f>(M403-N229)/N229</f>
        <v>-0.1503350135555645</v>
      </c>
    </row>
    <row r="404">
      <c r="A404" s="187">
        <f>A324</f>
        <v>101</v>
      </c>
      <c r="B404" s="175">
        <f>INPUT!BQ34</f>
        <v>94594968.220569268</v>
      </c>
      <c r="C404" s="175">
        <f>INPUT!BR34</f>
        <v>94594968.220569268</v>
      </c>
      <c r="D404" s="175">
        <f>INPUT!BS34</f>
        <v>104092098.67581166</v>
      </c>
      <c r="E404" s="175">
        <f>INPUT!BT34</f>
        <v>123240019.78823511</v>
      </c>
      <c r="F404" s="174">
        <f>IF(INPUT!CH34&lt;=0,(INPUT!AP34/10^6-G324/B404-H324/C404-I324/D404)*E404,-(INPUT!AO34/10^6+G324/B404+H324/C404+I324/D404)*E404)</f>
        <v>-46716.135249360021</v>
      </c>
      <c r="G404" s="175">
        <f>INPUT!BU34</f>
        <v>102289002.70150694</v>
      </c>
      <c r="H404" s="175">
        <f>INPUT!BV34</f>
        <v>102289002.70150694</v>
      </c>
      <c r="I404" s="175">
        <f>INPUT!BW34</f>
        <v>105151259.22625338</v>
      </c>
      <c r="J404" s="175">
        <f>INPUT!BX34</f>
        <v>109913620.18406133</v>
      </c>
      <c r="K404" s="174">
        <f>IF(INPUT!CH34&lt;=0,(INPUT!AO34/10^6-G324/G404-H324/H404-I324/I404)*J404,-(INPUT!AP34/10^6+G324/G404+H324/H404+I324/I404)*J404)</f>
        <v>-41669.926399814278</v>
      </c>
      <c r="L404" s="343">
        <f>MIN(ABS(F404),ABS(K404))</f>
        <v>41669.926399814278</v>
      </c>
      <c r="M404" s="343">
        <f>ABS(G324+H324+I324)+L404</f>
        <v>41761.35544485732</v>
      </c>
      <c r="N404" s="282">
        <f>(M404-N230)/N230</f>
        <v>-0.1503350135555645</v>
      </c>
    </row>
    <row r="405">
      <c r="A405" s="187">
        <f>A325</f>
        <v>101</v>
      </c>
      <c r="B405" s="175">
        <f>INPUT!BQ35</f>
        <v>94594968.220569268</v>
      </c>
      <c r="C405" s="175">
        <f>INPUT!BR35</f>
        <v>94594968.220569268</v>
      </c>
      <c r="D405" s="175">
        <f>INPUT!BS35</f>
        <v>104092098.67581166</v>
      </c>
      <c r="E405" s="175">
        <f>INPUT!BT35</f>
        <v>123240019.78823511</v>
      </c>
      <c r="F405" s="174">
        <f>IF(INPUT!CH35&lt;=0,(INPUT!AP35/10^6-G325/B405-H325/C405-I325/D405)*E405,-(INPUT!AO35/10^6+G325/B405+H325/C405+I325/D405)*E405)</f>
        <v>-46716.135249360021</v>
      </c>
      <c r="G405" s="175">
        <f>INPUT!BU35</f>
        <v>102289002.70150694</v>
      </c>
      <c r="H405" s="175">
        <f>INPUT!BV35</f>
        <v>102289002.70150694</v>
      </c>
      <c r="I405" s="175">
        <f>INPUT!BW35</f>
        <v>105151259.22625338</v>
      </c>
      <c r="J405" s="175">
        <f>INPUT!BX35</f>
        <v>109913620.18406133</v>
      </c>
      <c r="K405" s="174">
        <f>IF(INPUT!CH35&lt;=0,(INPUT!AO35/10^6-G325/G405-H325/H405-I325/I405)*J405,-(INPUT!AP35/10^6+G325/G405+H325/H405+I325/I405)*J405)</f>
        <v>-41669.926399814278</v>
      </c>
      <c r="L405" s="343">
        <f>MIN(ABS(F405),ABS(K405))</f>
        <v>41669.926399814278</v>
      </c>
      <c r="M405" s="343">
        <f>ABS(G325+H325+I325)+L405</f>
        <v>41761.35544485732</v>
      </c>
      <c r="N405" s="282">
        <f>(M405-N231)/N231</f>
        <v>-0.1503350135555645</v>
      </c>
    </row>
    <row r="406">
      <c r="A406" s="187">
        <f>A326</f>
        <v>101</v>
      </c>
      <c r="B406" s="175">
        <f>INPUT!BQ36</f>
        <v>94594968.220569268</v>
      </c>
      <c r="C406" s="175">
        <f>INPUT!BR36</f>
        <v>94594968.220569268</v>
      </c>
      <c r="D406" s="175">
        <f>INPUT!BS36</f>
        <v>104092098.67581166</v>
      </c>
      <c r="E406" s="175">
        <f>INPUT!BT36</f>
        <v>123240019.78823511</v>
      </c>
      <c r="F406" s="174">
        <f>IF(INPUT!CH36&lt;=0,(INPUT!AP36/10^6-G326/B406-H326/C406-I326/D406)*E406,-(INPUT!AO36/10^6+G326/B406+H326/C406+I326/D406)*E406)</f>
        <v>-46716.135249360021</v>
      </c>
      <c r="G406" s="175">
        <f>INPUT!BU36</f>
        <v>102289002.70150694</v>
      </c>
      <c r="H406" s="175">
        <f>INPUT!BV36</f>
        <v>102289002.70150694</v>
      </c>
      <c r="I406" s="175">
        <f>INPUT!BW36</f>
        <v>105151259.22625338</v>
      </c>
      <c r="J406" s="175">
        <f>INPUT!BX36</f>
        <v>109913620.18406133</v>
      </c>
      <c r="K406" s="174">
        <f>IF(INPUT!CH36&lt;=0,(INPUT!AO36/10^6-G326/G406-H326/H406-I326/I406)*J406,-(INPUT!AP36/10^6+G326/G406+H326/H406+I326/I406)*J406)</f>
        <v>-41669.926399814278</v>
      </c>
      <c r="L406" s="343">
        <f>MIN(ABS(F406),ABS(K406))</f>
        <v>41669.926399814278</v>
      </c>
      <c r="M406" s="343">
        <f>ABS(G326+H326+I326)+L406</f>
        <v>41761.35544485732</v>
      </c>
      <c r="N406" s="282">
        <f>(M406-N232)/N232</f>
        <v>-0.1503350135555645</v>
      </c>
    </row>
    <row r="407">
      <c r="A407" s="187">
        <f>A327</f>
        <v>101</v>
      </c>
      <c r="B407" s="175">
        <f>INPUT!BQ37</f>
        <v>94594968.220569268</v>
      </c>
      <c r="C407" s="175">
        <f>INPUT!BR37</f>
        <v>94594968.220569268</v>
      </c>
      <c r="D407" s="175">
        <f>INPUT!BS37</f>
        <v>104092098.67581166</v>
      </c>
      <c r="E407" s="175">
        <f>INPUT!BT37</f>
        <v>123240019.78823511</v>
      </c>
      <c r="F407" s="174">
        <f>IF(INPUT!CH37&lt;=0,(INPUT!AP37/10^6-G327/B407-H327/C407-I327/D407)*E407,-(INPUT!AO37/10^6+G327/B407+H327/C407+I327/D407)*E407)</f>
        <v>-46716.135249360021</v>
      </c>
      <c r="G407" s="175">
        <f>INPUT!BU37</f>
        <v>102289002.70150694</v>
      </c>
      <c r="H407" s="175">
        <f>INPUT!BV37</f>
        <v>102289002.70150694</v>
      </c>
      <c r="I407" s="175">
        <f>INPUT!BW37</f>
        <v>105151259.22625338</v>
      </c>
      <c r="J407" s="175">
        <f>INPUT!BX37</f>
        <v>109913620.18406133</v>
      </c>
      <c r="K407" s="174">
        <f>IF(INPUT!CH37&lt;=0,(INPUT!AO37/10^6-G327/G407-H327/H407-I327/I407)*J407,-(INPUT!AP37/10^6+G327/G407+H327/H407+I327/I407)*J407)</f>
        <v>-41669.926399814278</v>
      </c>
      <c r="L407" s="343">
        <f>MIN(ABS(F407),ABS(K407))</f>
        <v>41669.926399814278</v>
      </c>
      <c r="M407" s="343">
        <f>ABS(G327+H327+I327)+L407</f>
        <v>41761.35544485732</v>
      </c>
      <c r="N407" s="282">
        <f>(M407-N233)/N233</f>
        <v>-0.1503350135555645</v>
      </c>
    </row>
    <row r="408">
      <c r="A408" s="187">
        <f>A328</f>
        <v>101</v>
      </c>
      <c r="B408" s="175">
        <f>INPUT!BQ38</f>
        <v>94594968.220569268</v>
      </c>
      <c r="C408" s="175">
        <f>INPUT!BR38</f>
        <v>94594968.220569268</v>
      </c>
      <c r="D408" s="175">
        <f>INPUT!BS38</f>
        <v>104092098.67581166</v>
      </c>
      <c r="E408" s="175">
        <f>INPUT!BT38</f>
        <v>123240019.78823511</v>
      </c>
      <c r="F408" s="174">
        <f>IF(INPUT!CH38&lt;=0,(INPUT!AP38/10^6-G328/B408-H328/C408-I328/D408)*E408,-(INPUT!AO38/10^6+G328/B408+H328/C408+I328/D408)*E408)</f>
        <v>-46716.135249360021</v>
      </c>
      <c r="G408" s="175">
        <f>INPUT!BU38</f>
        <v>102289002.70150694</v>
      </c>
      <c r="H408" s="175">
        <f>INPUT!BV38</f>
        <v>102289002.70150694</v>
      </c>
      <c r="I408" s="175">
        <f>INPUT!BW38</f>
        <v>105151259.22625338</v>
      </c>
      <c r="J408" s="175">
        <f>INPUT!BX38</f>
        <v>109913620.18406133</v>
      </c>
      <c r="K408" s="174">
        <f>IF(INPUT!CH38&lt;=0,(INPUT!AO38/10^6-G328/G408-H328/H408-I328/I408)*J408,-(INPUT!AP38/10^6+G328/G408+H328/H408+I328/I408)*J408)</f>
        <v>-41669.926399814278</v>
      </c>
      <c r="L408" s="343">
        <f>MIN(ABS(F408),ABS(K408))</f>
        <v>41669.926399814278</v>
      </c>
      <c r="M408" s="343">
        <f>ABS(G328+H328+I328)+L408</f>
        <v>41761.35544485732</v>
      </c>
      <c r="N408" s="282">
        <f>(M408-N234)/N234</f>
        <v>-0.1503350135555645</v>
      </c>
    </row>
    <row r="409">
      <c r="A409" s="187">
        <f>A329</f>
        <v>101</v>
      </c>
      <c r="B409" s="175">
        <f>INPUT!BQ39</f>
        <v>94594968.220569268</v>
      </c>
      <c r="C409" s="175">
        <f>INPUT!BR39</f>
        <v>94594968.220569268</v>
      </c>
      <c r="D409" s="175">
        <f>INPUT!BS39</f>
        <v>104092098.67581166</v>
      </c>
      <c r="E409" s="175">
        <f>INPUT!BT39</f>
        <v>123240019.78823511</v>
      </c>
      <c r="F409" s="174">
        <f>IF(INPUT!CH39&lt;=0,(INPUT!AP39/10^6-G329/B409-H329/C409-I329/D409)*E409,-(INPUT!AO39/10^6+G329/B409+H329/C409+I329/D409)*E409)</f>
        <v>-46716.135249360021</v>
      </c>
      <c r="G409" s="175">
        <f>INPUT!BU39</f>
        <v>102289002.70150694</v>
      </c>
      <c r="H409" s="175">
        <f>INPUT!BV39</f>
        <v>102289002.70150694</v>
      </c>
      <c r="I409" s="175">
        <f>INPUT!BW39</f>
        <v>105151259.22625338</v>
      </c>
      <c r="J409" s="175">
        <f>INPUT!BX39</f>
        <v>109913620.18406133</v>
      </c>
      <c r="K409" s="174">
        <f>IF(INPUT!CH39&lt;=0,(INPUT!AO39/10^6-G329/G409-H329/H409-I329/I409)*J409,-(INPUT!AP39/10^6+G329/G409+H329/H409+I329/I409)*J409)</f>
        <v>-41669.926399814278</v>
      </c>
      <c r="L409" s="343">
        <f>MIN(ABS(F409),ABS(K409))</f>
        <v>41669.926399814278</v>
      </c>
      <c r="M409" s="343">
        <f>ABS(G329+H329+I329)+L409</f>
        <v>41761.35544485732</v>
      </c>
      <c r="N409" s="282">
        <f>(M409-N235)/N235</f>
        <v>-0.1503350135555645</v>
      </c>
    </row>
    <row r="410">
      <c r="A410" s="187">
        <f>A330</f>
        <v>101</v>
      </c>
      <c r="B410" s="175">
        <f>INPUT!BQ40</f>
        <v>94594968.220569268</v>
      </c>
      <c r="C410" s="175">
        <f>INPUT!BR40</f>
        <v>94594968.220569268</v>
      </c>
      <c r="D410" s="175">
        <f>INPUT!BS40</f>
        <v>104092098.67581166</v>
      </c>
      <c r="E410" s="175">
        <f>INPUT!BT40</f>
        <v>123240019.78823511</v>
      </c>
      <c r="F410" s="174">
        <f>IF(INPUT!CH40&lt;=0,(INPUT!AP40/10^6-G330/B410-H330/C410-I330/D410)*E410,-(INPUT!AO40/10^6+G330/B410+H330/C410+I330/D410)*E410)</f>
        <v>-46716.135249360021</v>
      </c>
      <c r="G410" s="175">
        <f>INPUT!BU40</f>
        <v>102289002.70150694</v>
      </c>
      <c r="H410" s="175">
        <f>INPUT!BV40</f>
        <v>102289002.70150694</v>
      </c>
      <c r="I410" s="175">
        <f>INPUT!BW40</f>
        <v>105151259.22625338</v>
      </c>
      <c r="J410" s="175">
        <f>INPUT!BX40</f>
        <v>109913620.18406133</v>
      </c>
      <c r="K410" s="174">
        <f>IF(INPUT!CH40&lt;=0,(INPUT!AO40/10^6-G330/G410-H330/H410-I330/I410)*J410,-(INPUT!AP40/10^6+G330/G410+H330/H410+I330/I410)*J410)</f>
        <v>-41669.926399814278</v>
      </c>
      <c r="L410" s="343">
        <f>MIN(ABS(F410),ABS(K410))</f>
        <v>41669.926399814278</v>
      </c>
      <c r="M410" s="343">
        <f>ABS(G330+H330+I330)+L410</f>
        <v>41761.35544485732</v>
      </c>
      <c r="N410" s="282">
        <f>(M410-N236)/N236</f>
        <v>-0.1503350135555645</v>
      </c>
    </row>
    <row r="411">
      <c r="A411" s="187">
        <f>A331</f>
        <v>101</v>
      </c>
      <c r="B411" s="175">
        <f>INPUT!BQ41</f>
        <v>94594968.220569268</v>
      </c>
      <c r="C411" s="175">
        <f>INPUT!BR41</f>
        <v>94594968.220569268</v>
      </c>
      <c r="D411" s="175">
        <f>INPUT!BS41</f>
        <v>104092098.67581166</v>
      </c>
      <c r="E411" s="175">
        <f>INPUT!BT41</f>
        <v>123240019.78823511</v>
      </c>
      <c r="F411" s="174">
        <f>IF(INPUT!CH41&lt;=0,(INPUT!AP41/10^6-G331/B411-H331/C411-I331/D411)*E411,-(INPUT!AO41/10^6+G331/B411+H331/C411+I331/D411)*E411)</f>
        <v>-46716.135249360021</v>
      </c>
      <c r="G411" s="175">
        <f>INPUT!BU41</f>
        <v>102289002.70150694</v>
      </c>
      <c r="H411" s="175">
        <f>INPUT!BV41</f>
        <v>102289002.70150694</v>
      </c>
      <c r="I411" s="175">
        <f>INPUT!BW41</f>
        <v>105151259.22625338</v>
      </c>
      <c r="J411" s="175">
        <f>INPUT!BX41</f>
        <v>109913620.18406133</v>
      </c>
      <c r="K411" s="174">
        <f>IF(INPUT!CH41&lt;=0,(INPUT!AO41/10^6-G331/G411-H331/H411-I331/I411)*J411,-(INPUT!AP41/10^6+G331/G411+H331/H411+I331/I411)*J411)</f>
        <v>-41669.926399814278</v>
      </c>
      <c r="L411" s="343">
        <f>MIN(ABS(F411),ABS(K411))</f>
        <v>41669.926399814278</v>
      </c>
      <c r="M411" s="343">
        <f>ABS(G331+H331+I331)+L411</f>
        <v>41761.35544485732</v>
      </c>
      <c r="N411" s="282">
        <f>(M411-N237)/N237</f>
        <v>-0.1503350135555645</v>
      </c>
    </row>
    <row r="412">
      <c r="A412" s="187">
        <f>A332</f>
        <v>101</v>
      </c>
      <c r="B412" s="175">
        <f>INPUT!BQ42</f>
        <v>94594968.220569268</v>
      </c>
      <c r="C412" s="175">
        <f>INPUT!BR42</f>
        <v>94594968.220569268</v>
      </c>
      <c r="D412" s="175">
        <f>INPUT!BS42</f>
        <v>104092098.67581166</v>
      </c>
      <c r="E412" s="175">
        <f>INPUT!BT42</f>
        <v>123240019.78823511</v>
      </c>
      <c r="F412" s="174">
        <f>IF(INPUT!CH42&lt;=0,(INPUT!AP42/10^6-G332/B412-H332/C412-I332/D412)*E412,-(INPUT!AO42/10^6+G332/B412+H332/C412+I332/D412)*E412)</f>
        <v>-46716.135249360021</v>
      </c>
      <c r="G412" s="175">
        <f>INPUT!BU42</f>
        <v>102289002.70150694</v>
      </c>
      <c r="H412" s="175">
        <f>INPUT!BV42</f>
        <v>102289002.70150694</v>
      </c>
      <c r="I412" s="175">
        <f>INPUT!BW42</f>
        <v>105151259.22625338</v>
      </c>
      <c r="J412" s="175">
        <f>INPUT!BX42</f>
        <v>109913620.18406133</v>
      </c>
      <c r="K412" s="174">
        <f>IF(INPUT!CH42&lt;=0,(INPUT!AO42/10^6-G332/G412-H332/H412-I332/I412)*J412,-(INPUT!AP42/10^6+G332/G412+H332/H412+I332/I412)*J412)</f>
        <v>-41669.926399814278</v>
      </c>
      <c r="L412" s="343">
        <f>MIN(ABS(F412),ABS(K412))</f>
        <v>41669.926399814278</v>
      </c>
      <c r="M412" s="343">
        <f>ABS(G332+H332+I332)+L412</f>
        <v>41761.35544485732</v>
      </c>
      <c r="N412" s="282">
        <f>(M412-N238)/N238</f>
        <v>-0.1503350135555645</v>
      </c>
    </row>
    <row r="413">
      <c r="A413" s="187">
        <f>A333</f>
        <v>101</v>
      </c>
      <c r="B413" s="175">
        <f>INPUT!BQ43</f>
        <v>94594968.220569268</v>
      </c>
      <c r="C413" s="175">
        <f>INPUT!BR43</f>
        <v>94594968.220569268</v>
      </c>
      <c r="D413" s="175">
        <f>INPUT!BS43</f>
        <v>104092098.67581166</v>
      </c>
      <c r="E413" s="175">
        <f>INPUT!BT43</f>
        <v>123240019.78823511</v>
      </c>
      <c r="F413" s="174">
        <f>IF(INPUT!CH43&lt;=0,(INPUT!AP43/10^6-G333/B413-H333/C413-I333/D413)*E413,-(INPUT!AO43/10^6+G333/B413+H333/C413+I333/D413)*E413)</f>
        <v>-46716.135249360021</v>
      </c>
      <c r="G413" s="175">
        <f>INPUT!BU43</f>
        <v>102289002.70150694</v>
      </c>
      <c r="H413" s="175">
        <f>INPUT!BV43</f>
        <v>102289002.70150694</v>
      </c>
      <c r="I413" s="175">
        <f>INPUT!BW43</f>
        <v>105151259.22625338</v>
      </c>
      <c r="J413" s="175">
        <f>INPUT!BX43</f>
        <v>109913620.18406133</v>
      </c>
      <c r="K413" s="174">
        <f>IF(INPUT!CH43&lt;=0,(INPUT!AO43/10^6-G333/G413-H333/H413-I333/I413)*J413,-(INPUT!AP43/10^6+G333/G413+H333/H413+I333/I413)*J413)</f>
        <v>-41669.926399814278</v>
      </c>
      <c r="L413" s="343">
        <f>MIN(ABS(F413),ABS(K413))</f>
        <v>41669.926399814278</v>
      </c>
      <c r="M413" s="343">
        <f>ABS(G333+H333+I333)+L413</f>
        <v>41761.35544485732</v>
      </c>
      <c r="N413" s="282">
        <f>(M413-N239)/N239</f>
        <v>-0.1503350135555645</v>
      </c>
    </row>
    <row r="414">
      <c r="A414" s="187">
        <f>A334</f>
        <v>101</v>
      </c>
      <c r="B414" s="175">
        <f>INPUT!BQ44</f>
        <v>94594968.220569268</v>
      </c>
      <c r="C414" s="175">
        <f>INPUT!BR44</f>
        <v>94594968.220569268</v>
      </c>
      <c r="D414" s="175">
        <f>INPUT!BS44</f>
        <v>104092098.67581166</v>
      </c>
      <c r="E414" s="175">
        <f>INPUT!BT44</f>
        <v>123240019.78823511</v>
      </c>
      <c r="F414" s="174">
        <f>IF(INPUT!CH44&lt;=0,(INPUT!AP44/10^6-G334/B414-H334/C414-I334/D414)*E414,-(INPUT!AO44/10^6+G334/B414+H334/C414+I334/D414)*E414)</f>
        <v>-46716.135249360021</v>
      </c>
      <c r="G414" s="175">
        <f>INPUT!BU44</f>
        <v>102289002.70150694</v>
      </c>
      <c r="H414" s="175">
        <f>INPUT!BV44</f>
        <v>102289002.70150694</v>
      </c>
      <c r="I414" s="175">
        <f>INPUT!BW44</f>
        <v>105151259.22625338</v>
      </c>
      <c r="J414" s="175">
        <f>INPUT!BX44</f>
        <v>109913620.18406133</v>
      </c>
      <c r="K414" s="174">
        <f>IF(INPUT!CH44&lt;=0,(INPUT!AO44/10^6-G334/G414-H334/H414-I334/I414)*J414,-(INPUT!AP44/10^6+G334/G414+H334/H414+I334/I414)*J414)</f>
        <v>-41669.926399814278</v>
      </c>
      <c r="L414" s="343">
        <f>MIN(ABS(F414),ABS(K414))</f>
        <v>41669.926399814278</v>
      </c>
      <c r="M414" s="343">
        <f>ABS(G334+H334+I334)+L414</f>
        <v>41761.35544485732</v>
      </c>
      <c r="N414" s="282">
        <f>(M414-N240)/N240</f>
        <v>-0.1503350135555645</v>
      </c>
    </row>
    <row r="415">
      <c r="A415" s="187">
        <f>A335</f>
        <v>101</v>
      </c>
      <c r="B415" s="175">
        <f>INPUT!BQ45</f>
        <v>94594968.220569268</v>
      </c>
      <c r="C415" s="175">
        <f>INPUT!BR45</f>
        <v>94594968.220569268</v>
      </c>
      <c r="D415" s="175">
        <f>INPUT!BS45</f>
        <v>104092098.67581166</v>
      </c>
      <c r="E415" s="175">
        <f>INPUT!BT45</f>
        <v>123240019.78823511</v>
      </c>
      <c r="F415" s="174">
        <f>IF(INPUT!CH45&lt;=0,(INPUT!AP45/10^6-G335/B415-H335/C415-I335/D415)*E415,-(INPUT!AO45/10^6+G335/B415+H335/C415+I335/D415)*E415)</f>
        <v>-46716.135249360021</v>
      </c>
      <c r="G415" s="175">
        <f>INPUT!BU45</f>
        <v>102289002.70150694</v>
      </c>
      <c r="H415" s="175">
        <f>INPUT!BV45</f>
        <v>102289002.70150694</v>
      </c>
      <c r="I415" s="175">
        <f>INPUT!BW45</f>
        <v>105151259.22625338</v>
      </c>
      <c r="J415" s="175">
        <f>INPUT!BX45</f>
        <v>109913620.18406133</v>
      </c>
      <c r="K415" s="174">
        <f>IF(INPUT!CH45&lt;=0,(INPUT!AO45/10^6-G335/G415-H335/H415-I335/I415)*J415,-(INPUT!AP45/10^6+G335/G415+H335/H415+I335/I415)*J415)</f>
        <v>-41669.926399814278</v>
      </c>
      <c r="L415" s="343">
        <f>MIN(ABS(F415),ABS(K415))</f>
        <v>41669.926399814278</v>
      </c>
      <c r="M415" s="343">
        <f>ABS(G335+H335+I335)+L415</f>
        <v>41761.35544485732</v>
      </c>
      <c r="N415" s="282">
        <f>(M415-N241)/N241</f>
        <v>-0.1503350135555645</v>
      </c>
    </row>
    <row r="416">
      <c r="A416" s="187">
        <f>A336</f>
        <v>101</v>
      </c>
      <c r="B416" s="175">
        <f>INPUT!BQ46</f>
        <v>94594968.220569268</v>
      </c>
      <c r="C416" s="175">
        <f>INPUT!BR46</f>
        <v>94594968.220569268</v>
      </c>
      <c r="D416" s="175">
        <f>INPUT!BS46</f>
        <v>104092098.67581166</v>
      </c>
      <c r="E416" s="175">
        <f>INPUT!BT46</f>
        <v>123240019.78823511</v>
      </c>
      <c r="F416" s="174">
        <f>IF(INPUT!CH46&lt;=0,(INPUT!AP46/10^6-G336/B416-H336/C416-I336/D416)*E416,-(INPUT!AO46/10^6+G336/B416+H336/C416+I336/D416)*E416)</f>
        <v>-46716.135249360021</v>
      </c>
      <c r="G416" s="175">
        <f>INPUT!BU46</f>
        <v>102289002.70150694</v>
      </c>
      <c r="H416" s="175">
        <f>INPUT!BV46</f>
        <v>102289002.70150694</v>
      </c>
      <c r="I416" s="175">
        <f>INPUT!BW46</f>
        <v>105151259.22625338</v>
      </c>
      <c r="J416" s="175">
        <f>INPUT!BX46</f>
        <v>109913620.18406133</v>
      </c>
      <c r="K416" s="174">
        <f>IF(INPUT!CH46&lt;=0,(INPUT!AO46/10^6-G336/G416-H336/H416-I336/I416)*J416,-(INPUT!AP46/10^6+G336/G416+H336/H416+I336/I416)*J416)</f>
        <v>-41669.926399814278</v>
      </c>
      <c r="L416" s="343">
        <f>MIN(ABS(F416),ABS(K416))</f>
        <v>41669.926399814278</v>
      </c>
      <c r="M416" s="343">
        <f>ABS(G336+H336+I336)+L416</f>
        <v>41761.35544485732</v>
      </c>
      <c r="N416" s="282">
        <f>(M416-N242)/N242</f>
        <v>-0.1503350135555645</v>
      </c>
    </row>
    <row r="417">
      <c r="A417" s="187">
        <f>A337</f>
        <v>101</v>
      </c>
      <c r="B417" s="175">
        <f>INPUT!BQ47</f>
        <v>94594968.220569268</v>
      </c>
      <c r="C417" s="175">
        <f>INPUT!BR47</f>
        <v>94594968.220569268</v>
      </c>
      <c r="D417" s="175">
        <f>INPUT!BS47</f>
        <v>104092098.67581166</v>
      </c>
      <c r="E417" s="175">
        <f>INPUT!BT47</f>
        <v>123240019.78823511</v>
      </c>
      <c r="F417" s="174">
        <f>IF(INPUT!CH47&lt;=0,(INPUT!AP47/10^6-G337/B417-H337/C417-I337/D417)*E417,-(INPUT!AO47/10^6+G337/B417+H337/C417+I337/D417)*E417)</f>
        <v>-46716.135249360021</v>
      </c>
      <c r="G417" s="175">
        <f>INPUT!BU47</f>
        <v>102289002.70150694</v>
      </c>
      <c r="H417" s="175">
        <f>INPUT!BV47</f>
        <v>102289002.70150694</v>
      </c>
      <c r="I417" s="175">
        <f>INPUT!BW47</f>
        <v>105151259.22625338</v>
      </c>
      <c r="J417" s="175">
        <f>INPUT!BX47</f>
        <v>109913620.18406133</v>
      </c>
      <c r="K417" s="174">
        <f>IF(INPUT!CH47&lt;=0,(INPUT!AO47/10^6-G337/G417-H337/H417-I337/I417)*J417,-(INPUT!AP47/10^6+G337/G417+H337/H417+I337/I417)*J417)</f>
        <v>-41669.926399814278</v>
      </c>
      <c r="L417" s="343">
        <f>MIN(ABS(F417),ABS(K417))</f>
        <v>41669.926399814278</v>
      </c>
      <c r="M417" s="343">
        <f>ABS(G337+H337+I337)+L417</f>
        <v>41761.35544485732</v>
      </c>
      <c r="N417" s="282">
        <f>(M417-N243)/N243</f>
        <v>-0.1503350135555645</v>
      </c>
    </row>
    <row r="418">
      <c r="A418" s="187">
        <f>A338</f>
        <v>101</v>
      </c>
      <c r="B418" s="175">
        <f>INPUT!BQ48</f>
        <v>94594968.220569268</v>
      </c>
      <c r="C418" s="175">
        <f>INPUT!BR48</f>
        <v>94594968.220569268</v>
      </c>
      <c r="D418" s="175">
        <f>INPUT!BS48</f>
        <v>104092098.67581166</v>
      </c>
      <c r="E418" s="175">
        <f>INPUT!BT48</f>
        <v>123240019.78823511</v>
      </c>
      <c r="F418" s="174">
        <f>IF(INPUT!CH48&lt;=0,(INPUT!AP48/10^6-G338/B418-H338/C418-I338/D418)*E418,-(INPUT!AO48/10^6+G338/B418+H338/C418+I338/D418)*E418)</f>
        <v>-46716.135249360021</v>
      </c>
      <c r="G418" s="175">
        <f>INPUT!BU48</f>
        <v>102289002.70150694</v>
      </c>
      <c r="H418" s="175">
        <f>INPUT!BV48</f>
        <v>102289002.70150694</v>
      </c>
      <c r="I418" s="175">
        <f>INPUT!BW48</f>
        <v>105151259.22625338</v>
      </c>
      <c r="J418" s="175">
        <f>INPUT!BX48</f>
        <v>109913620.18406133</v>
      </c>
      <c r="K418" s="174">
        <f>IF(INPUT!CH48&lt;=0,(INPUT!AO48/10^6-G338/G418-H338/H418-I338/I418)*J418,-(INPUT!AP48/10^6+G338/G418+H338/H418+I338/I418)*J418)</f>
        <v>-41669.926399814278</v>
      </c>
      <c r="L418" s="343">
        <f>MIN(ABS(F418),ABS(K418))</f>
        <v>41669.926399814278</v>
      </c>
      <c r="M418" s="343">
        <f>ABS(G338+H338+I338)+L418</f>
        <v>41761.35544485732</v>
      </c>
      <c r="N418" s="282">
        <f>(M418-N244)/N244</f>
        <v>-0.1503350135555645</v>
      </c>
    </row>
    <row r="419">
      <c r="A419" s="187">
        <f>A339</f>
        <v>101</v>
      </c>
      <c r="B419" s="175">
        <f>INPUT!BQ49</f>
        <v>94594968.220569268</v>
      </c>
      <c r="C419" s="175">
        <f>INPUT!BR49</f>
        <v>94594968.220569268</v>
      </c>
      <c r="D419" s="175">
        <f>INPUT!BS49</f>
        <v>104092098.67581166</v>
      </c>
      <c r="E419" s="175">
        <f>INPUT!BT49</f>
        <v>123240019.78823511</v>
      </c>
      <c r="F419" s="174">
        <f>IF(INPUT!CH49&lt;=0,(INPUT!AP49/10^6-G339/B419-H339/C419-I339/D419)*E419,-(INPUT!AO49/10^6+G339/B419+H339/C419+I339/D419)*E419)</f>
        <v>-46716.135249360021</v>
      </c>
      <c r="G419" s="175">
        <f>INPUT!BU49</f>
        <v>102289002.70150694</v>
      </c>
      <c r="H419" s="175">
        <f>INPUT!BV49</f>
        <v>102289002.70150694</v>
      </c>
      <c r="I419" s="175">
        <f>INPUT!BW49</f>
        <v>105151259.22625338</v>
      </c>
      <c r="J419" s="175">
        <f>INPUT!BX49</f>
        <v>109913620.18406133</v>
      </c>
      <c r="K419" s="174">
        <f>IF(INPUT!CH49&lt;=0,(INPUT!AO49/10^6-G339/G419-H339/H419-I339/I419)*J419,-(INPUT!AP49/10^6+G339/G419+H339/H419+I339/I419)*J419)</f>
        <v>-41669.926399814278</v>
      </c>
      <c r="L419" s="343">
        <f>MIN(ABS(F419),ABS(K419))</f>
        <v>41669.926399814278</v>
      </c>
      <c r="M419" s="343">
        <f>ABS(G339+H339+I339)+L419</f>
        <v>41761.35544485732</v>
      </c>
      <c r="N419" s="282">
        <f>(M419-N245)/N245</f>
        <v>-0.1503350135555645</v>
      </c>
    </row>
    <row r="420">
      <c r="A420" s="187">
        <f>A340</f>
        <v>101</v>
      </c>
      <c r="B420" s="175">
        <f>INPUT!BQ50</f>
        <v>94594968.220569268</v>
      </c>
      <c r="C420" s="175">
        <f>INPUT!BR50</f>
        <v>94594968.220569268</v>
      </c>
      <c r="D420" s="175">
        <f>INPUT!BS50</f>
        <v>104092098.67581166</v>
      </c>
      <c r="E420" s="175">
        <f>INPUT!BT50</f>
        <v>123240019.78823511</v>
      </c>
      <c r="F420" s="174">
        <f>IF(INPUT!CH50&lt;=0,(INPUT!AP50/10^6-G340/B420-H340/C420-I340/D420)*E420,-(INPUT!AO50/10^6+G340/B420+H340/C420+I340/D420)*E420)</f>
        <v>-46716.135249360021</v>
      </c>
      <c r="G420" s="175">
        <f>INPUT!BU50</f>
        <v>102289002.70150694</v>
      </c>
      <c r="H420" s="175">
        <f>INPUT!BV50</f>
        <v>102289002.70150694</v>
      </c>
      <c r="I420" s="175">
        <f>INPUT!BW50</f>
        <v>105151259.22625338</v>
      </c>
      <c r="J420" s="175">
        <f>INPUT!BX50</f>
        <v>109913620.18406133</v>
      </c>
      <c r="K420" s="174">
        <f>IF(INPUT!CH50&lt;=0,(INPUT!AO50/10^6-G340/G420-H340/H420-I340/I420)*J420,-(INPUT!AP50/10^6+G340/G420+H340/H420+I340/I420)*J420)</f>
        <v>-41669.926399814278</v>
      </c>
      <c r="L420" s="343">
        <f>MIN(ABS(F420),ABS(K420))</f>
        <v>41669.926399814278</v>
      </c>
      <c r="M420" s="343">
        <f>ABS(G340+H340+I340)+L420</f>
        <v>41761.35544485732</v>
      </c>
      <c r="N420" s="282">
        <f>(M420-N246)/N246</f>
        <v>-0.1503350135555645</v>
      </c>
    </row>
    <row r="421">
      <c r="A421" s="187">
        <f>A341</f>
        <v>101</v>
      </c>
      <c r="B421" s="175">
        <f>INPUT!BQ51</f>
        <v>94594968.220569268</v>
      </c>
      <c r="C421" s="175">
        <f>INPUT!BR51</f>
        <v>94594968.220569268</v>
      </c>
      <c r="D421" s="175">
        <f>INPUT!BS51</f>
        <v>104092098.67581166</v>
      </c>
      <c r="E421" s="175">
        <f>INPUT!BT51</f>
        <v>123240019.78823511</v>
      </c>
      <c r="F421" s="174">
        <f>IF(INPUT!CH51&lt;=0,(INPUT!AP51/10^6-G341/B421-H341/C421-I341/D421)*E421,-(INPUT!AO51/10^6+G341/B421+H341/C421+I341/D421)*E421)</f>
        <v>-46716.135249360021</v>
      </c>
      <c r="G421" s="175">
        <f>INPUT!BU51</f>
        <v>102289002.70150694</v>
      </c>
      <c r="H421" s="175">
        <f>INPUT!BV51</f>
        <v>102289002.70150694</v>
      </c>
      <c r="I421" s="175">
        <f>INPUT!BW51</f>
        <v>105151259.22625338</v>
      </c>
      <c r="J421" s="175">
        <f>INPUT!BX51</f>
        <v>109913620.18406133</v>
      </c>
      <c r="K421" s="174">
        <f>IF(INPUT!CH51&lt;=0,(INPUT!AO51/10^6-G341/G421-H341/H421-I341/I421)*J421,-(INPUT!AP51/10^6+G341/G421+H341/H421+I341/I421)*J421)</f>
        <v>-41669.926399814278</v>
      </c>
      <c r="L421" s="343">
        <f>MIN(ABS(F421),ABS(K421))</f>
        <v>41669.926399814278</v>
      </c>
      <c r="M421" s="343">
        <f>ABS(G341+H341+I341)+L421</f>
        <v>41761.35544485732</v>
      </c>
      <c r="N421" s="282">
        <f>(M421-N247)/N247</f>
        <v>-0.1503350135555645</v>
      </c>
    </row>
    <row r="422">
      <c r="A422" s="187">
        <f>A342</f>
        <v>101</v>
      </c>
      <c r="B422" s="175">
        <f>INPUT!BQ52</f>
        <v>94594968.220569268</v>
      </c>
      <c r="C422" s="175">
        <f>INPUT!BR52</f>
        <v>94594968.220569268</v>
      </c>
      <c r="D422" s="175">
        <f>INPUT!BS52</f>
        <v>104092098.67581166</v>
      </c>
      <c r="E422" s="175">
        <f>INPUT!BT52</f>
        <v>123240019.78823511</v>
      </c>
      <c r="F422" s="174">
        <f>IF(INPUT!CH52&lt;=0,(INPUT!AP52/10^6-G342/B422-H342/C422-I342/D422)*E422,-(INPUT!AO52/10^6+G342/B422+H342/C422+I342/D422)*E422)</f>
        <v>-46716.135249360021</v>
      </c>
      <c r="G422" s="175">
        <f>INPUT!BU52</f>
        <v>102289002.70150694</v>
      </c>
      <c r="H422" s="175">
        <f>INPUT!BV52</f>
        <v>102289002.70150694</v>
      </c>
      <c r="I422" s="175">
        <f>INPUT!BW52</f>
        <v>105151259.22625338</v>
      </c>
      <c r="J422" s="175">
        <f>INPUT!BX52</f>
        <v>109913620.18406133</v>
      </c>
      <c r="K422" s="174">
        <f>IF(INPUT!CH52&lt;=0,(INPUT!AO52/10^6-G342/G422-H342/H422-I342/I422)*J422,-(INPUT!AP52/10^6+G342/G422+H342/H422+I342/I422)*J422)</f>
        <v>-41669.926399814278</v>
      </c>
      <c r="L422" s="343">
        <f>MIN(ABS(F422),ABS(K422))</f>
        <v>41669.926399814278</v>
      </c>
      <c r="M422" s="343">
        <f>ABS(G342+H342+I342)+L422</f>
        <v>41761.35544485732</v>
      </c>
      <c r="N422" s="282">
        <f>(M422-N248)/N248</f>
        <v>-0.1503350135555645</v>
      </c>
    </row>
    <row r="423">
      <c r="A423" s="187">
        <f>A343</f>
        <v>101</v>
      </c>
      <c r="B423" s="175">
        <f>INPUT!BQ53</f>
        <v>94594968.220569268</v>
      </c>
      <c r="C423" s="175">
        <f>INPUT!BR53</f>
        <v>94594968.220569268</v>
      </c>
      <c r="D423" s="175">
        <f>INPUT!BS53</f>
        <v>104092098.67581166</v>
      </c>
      <c r="E423" s="175">
        <f>INPUT!BT53</f>
        <v>123240019.78823511</v>
      </c>
      <c r="F423" s="174">
        <f>IF(INPUT!CH53&lt;=0,(INPUT!AP53/10^6-G343/B423-H343/C423-I343/D423)*E423,-(INPUT!AO53/10^6+G343/B423+H343/C423+I343/D423)*E423)</f>
        <v>-46716.135249360021</v>
      </c>
      <c r="G423" s="175">
        <f>INPUT!BU53</f>
        <v>102289002.70150694</v>
      </c>
      <c r="H423" s="175">
        <f>INPUT!BV53</f>
        <v>102289002.70150694</v>
      </c>
      <c r="I423" s="175">
        <f>INPUT!BW53</f>
        <v>105151259.22625338</v>
      </c>
      <c r="J423" s="175">
        <f>INPUT!BX53</f>
        <v>109913620.18406133</v>
      </c>
      <c r="K423" s="174">
        <f>IF(INPUT!CH53&lt;=0,(INPUT!AO53/10^6-G343/G423-H343/H423-I343/I423)*J423,-(INPUT!AP53/10^6+G343/G423+H343/H423+I343/I423)*J423)</f>
        <v>-41669.926399814278</v>
      </c>
      <c r="L423" s="343">
        <f>MIN(ABS(F423),ABS(K423))</f>
        <v>41669.926399814278</v>
      </c>
      <c r="M423" s="343">
        <f>ABS(G343+H343+I343)+L423</f>
        <v>41761.35544485732</v>
      </c>
      <c r="N423" s="282">
        <f>(M423-N249)/N249</f>
        <v>-0.1503350135555645</v>
      </c>
    </row>
    <row r="424">
      <c r="A424" s="187">
        <f>A344</f>
        <v>101</v>
      </c>
      <c r="B424" s="175">
        <f>INPUT!BQ54</f>
        <v>94594968.220569268</v>
      </c>
      <c r="C424" s="175">
        <f>INPUT!BR54</f>
        <v>94594968.220569268</v>
      </c>
      <c r="D424" s="175">
        <f>INPUT!BS54</f>
        <v>104092098.67581166</v>
      </c>
      <c r="E424" s="175">
        <f>INPUT!BT54</f>
        <v>123240019.78823511</v>
      </c>
      <c r="F424" s="174">
        <f>IF(INPUT!CH54&lt;=0,(INPUT!AP54/10^6-G344/B424-H344/C424-I344/D424)*E424,-(INPUT!AO54/10^6+G344/B424+H344/C424+I344/D424)*E424)</f>
        <v>-46716.135249360021</v>
      </c>
      <c r="G424" s="175">
        <f>INPUT!BU54</f>
        <v>102289002.70150694</v>
      </c>
      <c r="H424" s="175">
        <f>INPUT!BV54</f>
        <v>102289002.70150694</v>
      </c>
      <c r="I424" s="175">
        <f>INPUT!BW54</f>
        <v>105151259.22625338</v>
      </c>
      <c r="J424" s="175">
        <f>INPUT!BX54</f>
        <v>109913620.18406133</v>
      </c>
      <c r="K424" s="174">
        <f>IF(INPUT!CH54&lt;=0,(INPUT!AO54/10^6-G344/G424-H344/H424-I344/I424)*J424,-(INPUT!AP54/10^6+G344/G424+H344/H424+I344/I424)*J424)</f>
        <v>-41669.926399814278</v>
      </c>
      <c r="L424" s="343">
        <f>MIN(ABS(F424),ABS(K424))</f>
        <v>41669.926399814278</v>
      </c>
      <c r="M424" s="343">
        <f>ABS(G344+H344+I344)+L424</f>
        <v>41761.35544485732</v>
      </c>
      <c r="N424" s="282">
        <f>(M424-N250)/N250</f>
        <v>-0.1503350135555645</v>
      </c>
    </row>
    <row r="425">
      <c r="A425" s="187">
        <f>A345</f>
        <v>101</v>
      </c>
      <c r="B425" s="175">
        <f>INPUT!BQ55</f>
        <v>94594968.220569268</v>
      </c>
      <c r="C425" s="175">
        <f>INPUT!BR55</f>
        <v>94594968.220569268</v>
      </c>
      <c r="D425" s="175">
        <f>INPUT!BS55</f>
        <v>104092098.67581166</v>
      </c>
      <c r="E425" s="175">
        <f>INPUT!BT55</f>
        <v>123240019.78823511</v>
      </c>
      <c r="F425" s="174">
        <f>IF(INPUT!CH55&lt;=0,(INPUT!AP55/10^6-G345/B425-H345/C425-I345/D425)*E425,-(INPUT!AO55/10^6+G345/B425+H345/C425+I345/D425)*E425)</f>
        <v>-46716.135249360021</v>
      </c>
      <c r="G425" s="175">
        <f>INPUT!BU55</f>
        <v>102289002.70150694</v>
      </c>
      <c r="H425" s="175">
        <f>INPUT!BV55</f>
        <v>102289002.70150694</v>
      </c>
      <c r="I425" s="175">
        <f>INPUT!BW55</f>
        <v>105151259.22625338</v>
      </c>
      <c r="J425" s="175">
        <f>INPUT!BX55</f>
        <v>109913620.18406133</v>
      </c>
      <c r="K425" s="174">
        <f>IF(INPUT!CH55&lt;=0,(INPUT!AO55/10^6-G345/G425-H345/H425-I345/I425)*J425,-(INPUT!AP55/10^6+G345/G425+H345/H425+I345/I425)*J425)</f>
        <v>-41669.926399814278</v>
      </c>
      <c r="L425" s="343">
        <f>MIN(ABS(F425),ABS(K425))</f>
        <v>41669.926399814278</v>
      </c>
      <c r="M425" s="343">
        <f>ABS(G345+H345+I345)+L425</f>
        <v>41761.35544485732</v>
      </c>
      <c r="N425" s="282">
        <f>(M425-N251)/N251</f>
        <v>-0.1503350135555645</v>
      </c>
    </row>
    <row r="426">
      <c r="A426" s="187">
        <f>A346</f>
        <v>101</v>
      </c>
      <c r="B426" s="175">
        <f>INPUT!BQ56</f>
        <v>94594968.220569268</v>
      </c>
      <c r="C426" s="175">
        <f>INPUT!BR56</f>
        <v>94594968.220569268</v>
      </c>
      <c r="D426" s="175">
        <f>INPUT!BS56</f>
        <v>104092098.67581166</v>
      </c>
      <c r="E426" s="175">
        <f>INPUT!BT56</f>
        <v>123240019.78823511</v>
      </c>
      <c r="F426" s="174">
        <f>IF(INPUT!CH56&lt;=0,(INPUT!AP56/10^6-G346/B426-H346/C426-I346/D426)*E426,-(INPUT!AO56/10^6+G346/B426+H346/C426+I346/D426)*E426)</f>
        <v>-46716.135249360021</v>
      </c>
      <c r="G426" s="175">
        <f>INPUT!BU56</f>
        <v>102289002.70150694</v>
      </c>
      <c r="H426" s="175">
        <f>INPUT!BV56</f>
        <v>102289002.70150694</v>
      </c>
      <c r="I426" s="175">
        <f>INPUT!BW56</f>
        <v>105151259.22625338</v>
      </c>
      <c r="J426" s="175">
        <f>INPUT!BX56</f>
        <v>109913620.18406133</v>
      </c>
      <c r="K426" s="174">
        <f>IF(INPUT!CH56&lt;=0,(INPUT!AO56/10^6-G346/G426-H346/H426-I346/I426)*J426,-(INPUT!AP56/10^6+G346/G426+H346/H426+I346/I426)*J426)</f>
        <v>-41669.926399814278</v>
      </c>
      <c r="L426" s="343">
        <f>MIN(ABS(F426),ABS(K426))</f>
        <v>41669.926399814278</v>
      </c>
      <c r="M426" s="343">
        <f>ABS(G346+H346+I346)+L426</f>
        <v>41761.35544485732</v>
      </c>
      <c r="N426" s="282">
        <f>(M426-N252)/N252</f>
        <v>-0.1503350135555645</v>
      </c>
    </row>
    <row r="427">
      <c r="A427" s="187">
        <f>A347</f>
        <v>101</v>
      </c>
      <c r="B427" s="175">
        <f>INPUT!BQ57</f>
        <v>94594968.220569268</v>
      </c>
      <c r="C427" s="175">
        <f>INPUT!BR57</f>
        <v>94594968.220569268</v>
      </c>
      <c r="D427" s="175">
        <f>INPUT!BS57</f>
        <v>104092098.67581166</v>
      </c>
      <c r="E427" s="175">
        <f>INPUT!BT57</f>
        <v>123240019.78823511</v>
      </c>
      <c r="F427" s="174">
        <f>IF(INPUT!CH57&lt;=0,(INPUT!AP57/10^6-G347/B427-H347/C427-I347/D427)*E427,-(INPUT!AO57/10^6+G347/B427+H347/C427+I347/D427)*E427)</f>
        <v>-46716.135249360021</v>
      </c>
      <c r="G427" s="175">
        <f>INPUT!BU57</f>
        <v>102289002.70150694</v>
      </c>
      <c r="H427" s="175">
        <f>INPUT!BV57</f>
        <v>102289002.70150694</v>
      </c>
      <c r="I427" s="175">
        <f>INPUT!BW57</f>
        <v>105151259.22625338</v>
      </c>
      <c r="J427" s="175">
        <f>INPUT!BX57</f>
        <v>109913620.18406133</v>
      </c>
      <c r="K427" s="174">
        <f>IF(INPUT!CH57&lt;=0,(INPUT!AO57/10^6-G347/G427-H347/H427-I347/I427)*J427,-(INPUT!AP57/10^6+G347/G427+H347/H427+I347/I427)*J427)</f>
        <v>-41669.926399814278</v>
      </c>
      <c r="L427" s="343">
        <f>MIN(ABS(F427),ABS(K427))</f>
        <v>41669.926399814278</v>
      </c>
      <c r="M427" s="343">
        <f>ABS(G347+H347+I347)+L427</f>
        <v>41761.35544485732</v>
      </c>
      <c r="N427" s="282">
        <f>(M427-N253)/N253</f>
        <v>-0.1503350135555645</v>
      </c>
    </row>
    <row r="428">
      <c r="A428" s="187">
        <f>A348</f>
        <v>101</v>
      </c>
      <c r="B428" s="175">
        <f>INPUT!BQ58</f>
        <v>94594968.220569268</v>
      </c>
      <c r="C428" s="175">
        <f>INPUT!BR58</f>
        <v>94594968.220569268</v>
      </c>
      <c r="D428" s="175">
        <f>INPUT!BS58</f>
        <v>104092098.67581166</v>
      </c>
      <c r="E428" s="175">
        <f>INPUT!BT58</f>
        <v>123240019.78823511</v>
      </c>
      <c r="F428" s="174">
        <f>IF(INPUT!CH58&lt;=0,(INPUT!AP58/10^6-G348/B428-H348/C428-I348/D428)*E428,-(INPUT!AO58/10^6+G348/B428+H348/C428+I348/D428)*E428)</f>
        <v>-46716.135249360021</v>
      </c>
      <c r="G428" s="175">
        <f>INPUT!BU58</f>
        <v>102289002.70150694</v>
      </c>
      <c r="H428" s="175">
        <f>INPUT!BV58</f>
        <v>102289002.70150694</v>
      </c>
      <c r="I428" s="175">
        <f>INPUT!BW58</f>
        <v>105151259.22625338</v>
      </c>
      <c r="J428" s="175">
        <f>INPUT!BX58</f>
        <v>109913620.18406133</v>
      </c>
      <c r="K428" s="174">
        <f>IF(INPUT!CH58&lt;=0,(INPUT!AO58/10^6-G348/G428-H348/H428-I348/I428)*J428,-(INPUT!AP58/10^6+G348/G428+H348/H428+I348/I428)*J428)</f>
        <v>-41669.926399814278</v>
      </c>
      <c r="L428" s="343">
        <f>MIN(ABS(F428),ABS(K428))</f>
        <v>41669.926399814278</v>
      </c>
      <c r="M428" s="343">
        <f>ABS(G348+H348+I348)+L428</f>
        <v>41761.35544485732</v>
      </c>
      <c r="N428" s="282">
        <f>(M428-N254)/N254</f>
        <v>-0.1503350135555645</v>
      </c>
    </row>
    <row r="429">
      <c r="A429" s="187">
        <f>A349</f>
        <v>101</v>
      </c>
      <c r="B429" s="175">
        <f>INPUT!BQ59</f>
        <v>94594968.220569268</v>
      </c>
      <c r="C429" s="175">
        <f>INPUT!BR59</f>
        <v>94594968.220569268</v>
      </c>
      <c r="D429" s="175">
        <f>INPUT!BS59</f>
        <v>104092098.67581166</v>
      </c>
      <c r="E429" s="175">
        <f>INPUT!BT59</f>
        <v>123240019.78823511</v>
      </c>
      <c r="F429" s="174">
        <f>IF(INPUT!CH59&lt;=0,(INPUT!AP59/10^6-G349/B429-H349/C429-I349/D429)*E429,-(INPUT!AO59/10^6+G349/B429+H349/C429+I349/D429)*E429)</f>
        <v>-46716.135249360021</v>
      </c>
      <c r="G429" s="175">
        <f>INPUT!BU59</f>
        <v>102289002.70150694</v>
      </c>
      <c r="H429" s="175">
        <f>INPUT!BV59</f>
        <v>102289002.70150694</v>
      </c>
      <c r="I429" s="175">
        <f>INPUT!BW59</f>
        <v>105151259.22625338</v>
      </c>
      <c r="J429" s="175">
        <f>INPUT!BX59</f>
        <v>109913620.18406133</v>
      </c>
      <c r="K429" s="174">
        <f>IF(INPUT!CH59&lt;=0,(INPUT!AO59/10^6-G349/G429-H349/H429-I349/I429)*J429,-(INPUT!AP59/10^6+G349/G429+H349/H429+I349/I429)*J429)</f>
        <v>-41669.926399814278</v>
      </c>
      <c r="L429" s="343">
        <f>MIN(ABS(F429),ABS(K429))</f>
        <v>41669.926399814278</v>
      </c>
      <c r="M429" s="343">
        <f>ABS(G349+H349+I349)+L429</f>
        <v>41761.35544485732</v>
      </c>
      <c r="N429" s="282">
        <f>(M429-N255)/N255</f>
        <v>-0.1503350135555645</v>
      </c>
    </row>
    <row r="430">
      <c r="A430" s="187">
        <f>A350</f>
        <v>101</v>
      </c>
      <c r="B430" s="175">
        <f>INPUT!BQ60</f>
        <v>94594968.220569268</v>
      </c>
      <c r="C430" s="175">
        <f>INPUT!BR60</f>
        <v>94594968.220569268</v>
      </c>
      <c r="D430" s="175">
        <f>INPUT!BS60</f>
        <v>104092098.67581166</v>
      </c>
      <c r="E430" s="175">
        <f>INPUT!BT60</f>
        <v>123240019.78823511</v>
      </c>
      <c r="F430" s="174">
        <f>IF(INPUT!CH60&lt;=0,(INPUT!AP60/10^6-G350/B430-H350/C430-I350/D430)*E430,-(INPUT!AO60/10^6+G350/B430+H350/C430+I350/D430)*E430)</f>
        <v>-46716.135249360021</v>
      </c>
      <c r="G430" s="175">
        <f>INPUT!BU60</f>
        <v>102289002.70150694</v>
      </c>
      <c r="H430" s="175">
        <f>INPUT!BV60</f>
        <v>102289002.70150694</v>
      </c>
      <c r="I430" s="175">
        <f>INPUT!BW60</f>
        <v>105151259.22625338</v>
      </c>
      <c r="J430" s="175">
        <f>INPUT!BX60</f>
        <v>109913620.18406133</v>
      </c>
      <c r="K430" s="174">
        <f>IF(INPUT!CH60&lt;=0,(INPUT!AO60/10^6-G350/G430-H350/H430-I350/I430)*J430,-(INPUT!AP60/10^6+G350/G430+H350/H430+I350/I430)*J430)</f>
        <v>-41669.926399814278</v>
      </c>
      <c r="L430" s="343">
        <f>MIN(ABS(F430),ABS(K430))</f>
        <v>41669.926399814278</v>
      </c>
      <c r="M430" s="343">
        <f>ABS(G350+H350+I350)+L430</f>
        <v>41761.35544485732</v>
      </c>
      <c r="N430" s="282">
        <f>(M430-N256)/N256</f>
        <v>-0.1503350135555645</v>
      </c>
    </row>
    <row r="431">
      <c r="A431" s="187">
        <f>A351</f>
        <v>101</v>
      </c>
      <c r="B431" s="175">
        <f>INPUT!BQ61</f>
        <v>94594968.220569268</v>
      </c>
      <c r="C431" s="175">
        <f>INPUT!BR61</f>
        <v>94594968.220569268</v>
      </c>
      <c r="D431" s="175">
        <f>INPUT!BS61</f>
        <v>104092098.67581166</v>
      </c>
      <c r="E431" s="175">
        <f>INPUT!BT61</f>
        <v>123240019.78823511</v>
      </c>
      <c r="F431" s="174">
        <f>IF(INPUT!CH61&lt;=0,(INPUT!AP61/10^6-G351/B431-H351/C431-I351/D431)*E431,-(INPUT!AO61/10^6+G351/B431+H351/C431+I351/D431)*E431)</f>
        <v>-46716.135249360021</v>
      </c>
      <c r="G431" s="175">
        <f>INPUT!BU61</f>
        <v>102289002.70150694</v>
      </c>
      <c r="H431" s="175">
        <f>INPUT!BV61</f>
        <v>102289002.70150694</v>
      </c>
      <c r="I431" s="175">
        <f>INPUT!BW61</f>
        <v>105151259.22625338</v>
      </c>
      <c r="J431" s="175">
        <f>INPUT!BX61</f>
        <v>109913620.18406133</v>
      </c>
      <c r="K431" s="174">
        <f>IF(INPUT!CH61&lt;=0,(INPUT!AO61/10^6-G351/G431-H351/H431-I351/I431)*J431,-(INPUT!AP61/10^6+G351/G431+H351/H431+I351/I431)*J431)</f>
        <v>-41669.926399814278</v>
      </c>
      <c r="L431" s="343">
        <f>MIN(ABS(F431),ABS(K431))</f>
        <v>41669.926399814278</v>
      </c>
      <c r="M431" s="343">
        <f>ABS(G351+H351+I351)+L431</f>
        <v>41761.35544485732</v>
      </c>
      <c r="N431" s="282">
        <f>(M431-N257)/N257</f>
        <v>-0.1503350135555645</v>
      </c>
    </row>
    <row r="432">
      <c r="A432" s="187">
        <f>A352</f>
        <v>101</v>
      </c>
      <c r="B432" s="175">
        <f>INPUT!BQ62</f>
        <v>94594968.220569268</v>
      </c>
      <c r="C432" s="175">
        <f>INPUT!BR62</f>
        <v>94594968.220569268</v>
      </c>
      <c r="D432" s="175">
        <f>INPUT!BS62</f>
        <v>104092098.67581166</v>
      </c>
      <c r="E432" s="175">
        <f>INPUT!BT62</f>
        <v>123240019.78823511</v>
      </c>
      <c r="F432" s="174">
        <f>IF(INPUT!CH62&lt;=0,(INPUT!AP62/10^6-G352/B432-H352/C432-I352/D432)*E432,-(INPUT!AO62/10^6+G352/B432+H352/C432+I352/D432)*E432)</f>
        <v>-46716.135249360021</v>
      </c>
      <c r="G432" s="175">
        <f>INPUT!BU62</f>
        <v>102289002.70150694</v>
      </c>
      <c r="H432" s="175">
        <f>INPUT!BV62</f>
        <v>102289002.70150694</v>
      </c>
      <c r="I432" s="175">
        <f>INPUT!BW62</f>
        <v>105151259.22625338</v>
      </c>
      <c r="J432" s="175">
        <f>INPUT!BX62</f>
        <v>109913620.18406133</v>
      </c>
      <c r="K432" s="174">
        <f>IF(INPUT!CH62&lt;=0,(INPUT!AO62/10^6-G352/G432-H352/H432-I352/I432)*J432,-(INPUT!AP62/10^6+G352/G432+H352/H432+I352/I432)*J432)</f>
        <v>-41669.926399814278</v>
      </c>
      <c r="L432" s="343">
        <f>MIN(ABS(F432),ABS(K432))</f>
        <v>41669.926399814278</v>
      </c>
      <c r="M432" s="343">
        <f>ABS(G352+H352+I352)+L432</f>
        <v>41761.35544485732</v>
      </c>
      <c r="N432" s="282">
        <f>(M432-N258)/N258</f>
        <v>-0.1503350135555645</v>
      </c>
    </row>
    <row r="433">
      <c r="A433" s="187">
        <f>A353</f>
        <v>101</v>
      </c>
      <c r="B433" s="175">
        <f>INPUT!BQ63</f>
        <v>94594968.220569268</v>
      </c>
      <c r="C433" s="175">
        <f>INPUT!BR63</f>
        <v>94594968.220569268</v>
      </c>
      <c r="D433" s="175">
        <f>INPUT!BS63</f>
        <v>104092098.67581166</v>
      </c>
      <c r="E433" s="175">
        <f>INPUT!BT63</f>
        <v>123240019.78823511</v>
      </c>
      <c r="F433" s="174">
        <f>IF(INPUT!CH63&lt;=0,(INPUT!AP63/10^6-G353/B433-H353/C433-I353/D433)*E433,-(INPUT!AO63/10^6+G353/B433+H353/C433+I353/D433)*E433)</f>
        <v>-46716.135249360021</v>
      </c>
      <c r="G433" s="175">
        <f>INPUT!BU63</f>
        <v>102289002.70150694</v>
      </c>
      <c r="H433" s="175">
        <f>INPUT!BV63</f>
        <v>102289002.70150694</v>
      </c>
      <c r="I433" s="175">
        <f>INPUT!BW63</f>
        <v>105151259.22625338</v>
      </c>
      <c r="J433" s="175">
        <f>INPUT!BX63</f>
        <v>109913620.18406133</v>
      </c>
      <c r="K433" s="174">
        <f>IF(INPUT!CH63&lt;=0,(INPUT!AO63/10^6-G353/G433-H353/H433-I353/I433)*J433,-(INPUT!AP63/10^6+G353/G433+H353/H433+I353/I433)*J433)</f>
        <v>-41669.926399814278</v>
      </c>
      <c r="L433" s="343">
        <f>MIN(ABS(F433),ABS(K433))</f>
        <v>41669.926399814278</v>
      </c>
      <c r="M433" s="343">
        <f>ABS(G353+H353+I353)+L433</f>
        <v>41761.35544485732</v>
      </c>
      <c r="N433" s="282">
        <f>(M433-N259)/N259</f>
        <v>-0.1503350135555645</v>
      </c>
    </row>
    <row r="434">
      <c r="A434" s="187">
        <f>A354</f>
        <v>101</v>
      </c>
      <c r="B434" s="175">
        <f>INPUT!BQ64</f>
        <v>94594968.220569268</v>
      </c>
      <c r="C434" s="175">
        <f>INPUT!BR64</f>
        <v>94594968.220569268</v>
      </c>
      <c r="D434" s="175">
        <f>INPUT!BS64</f>
        <v>104092098.67581166</v>
      </c>
      <c r="E434" s="175">
        <f>INPUT!BT64</f>
        <v>123240019.78823511</v>
      </c>
      <c r="F434" s="174">
        <f>IF(INPUT!CH64&lt;=0,(INPUT!AP64/10^6-G354/B434-H354/C434-I354/D434)*E434,-(INPUT!AO64/10^6+G354/B434+H354/C434+I354/D434)*E434)</f>
        <v>-46716.135249360021</v>
      </c>
      <c r="G434" s="175">
        <f>INPUT!BU64</f>
        <v>102289002.70150694</v>
      </c>
      <c r="H434" s="175">
        <f>INPUT!BV64</f>
        <v>102289002.70150694</v>
      </c>
      <c r="I434" s="175">
        <f>INPUT!BW64</f>
        <v>105151259.22625338</v>
      </c>
      <c r="J434" s="175">
        <f>INPUT!BX64</f>
        <v>109913620.18406133</v>
      </c>
      <c r="K434" s="174">
        <f>IF(INPUT!CH64&lt;=0,(INPUT!AO64/10^6-G354/G434-H354/H434-I354/I434)*J434,-(INPUT!AP64/10^6+G354/G434+H354/H434+I354/I434)*J434)</f>
        <v>-41669.926399814278</v>
      </c>
      <c r="L434" s="343">
        <f>MIN(ABS(F434),ABS(K434))</f>
        <v>41669.926399814278</v>
      </c>
      <c r="M434" s="343">
        <f>ABS(G354+H354+I354)+L434</f>
        <v>41761.35544485732</v>
      </c>
      <c r="N434" s="282">
        <f>(M434-N260)/N260</f>
        <v>-0.1503350135555645</v>
      </c>
    </row>
    <row r="435">
      <c r="A435" s="187">
        <f>A355</f>
        <v>101</v>
      </c>
      <c r="B435" s="175">
        <f>INPUT!BQ65</f>
        <v>94594968.220569268</v>
      </c>
      <c r="C435" s="175">
        <f>INPUT!BR65</f>
        <v>94594968.220569268</v>
      </c>
      <c r="D435" s="175">
        <f>INPUT!BS65</f>
        <v>104092098.67581166</v>
      </c>
      <c r="E435" s="175">
        <f>INPUT!BT65</f>
        <v>123240019.78823511</v>
      </c>
      <c r="F435" s="174">
        <f>IF(INPUT!CH65&lt;=0,(INPUT!AP65/10^6-G355/B435-H355/C435-I355/D435)*E435,-(INPUT!AO65/10^6+G355/B435+H355/C435+I355/D435)*E435)</f>
        <v>-46716.135249360021</v>
      </c>
      <c r="G435" s="175">
        <f>INPUT!BU65</f>
        <v>102289002.70150694</v>
      </c>
      <c r="H435" s="175">
        <f>INPUT!BV65</f>
        <v>102289002.70150694</v>
      </c>
      <c r="I435" s="175">
        <f>INPUT!BW65</f>
        <v>105151259.22625338</v>
      </c>
      <c r="J435" s="175">
        <f>INPUT!BX65</f>
        <v>109913620.18406133</v>
      </c>
      <c r="K435" s="174">
        <f>IF(INPUT!CH65&lt;=0,(INPUT!AO65/10^6-G355/G435-H355/H435-I355/I435)*J435,-(INPUT!AP65/10^6+G355/G435+H355/H435+I355/I435)*J435)</f>
        <v>-41669.926399814278</v>
      </c>
      <c r="L435" s="343">
        <f>MIN(ABS(F435),ABS(K435))</f>
        <v>41669.926399814278</v>
      </c>
      <c r="M435" s="343">
        <f>ABS(G355+H355+I355)+L435</f>
        <v>41761.35544485732</v>
      </c>
      <c r="N435" s="282">
        <f>(M435-N261)/N261</f>
        <v>-0.1503350135555645</v>
      </c>
    </row>
    <row r="436">
      <c r="A436" s="187">
        <f>A356</f>
        <v>101</v>
      </c>
      <c r="B436" s="175">
        <f>INPUT!BQ66</f>
        <v>94594968.220569268</v>
      </c>
      <c r="C436" s="175">
        <f>INPUT!BR66</f>
        <v>94594968.220569268</v>
      </c>
      <c r="D436" s="175">
        <f>INPUT!BS66</f>
        <v>104092098.67581166</v>
      </c>
      <c r="E436" s="175">
        <f>INPUT!BT66</f>
        <v>123240019.78823511</v>
      </c>
      <c r="F436" s="174">
        <f>IF(INPUT!CH66&lt;=0,(INPUT!AP66/10^6-G356/B436-H356/C436-I356/D436)*E436,-(INPUT!AO66/10^6+G356/B436+H356/C436+I356/D436)*E436)</f>
        <v>-46716.135249360021</v>
      </c>
      <c r="G436" s="175">
        <f>INPUT!BU66</f>
        <v>102289002.70150694</v>
      </c>
      <c r="H436" s="175">
        <f>INPUT!BV66</f>
        <v>102289002.70150694</v>
      </c>
      <c r="I436" s="175">
        <f>INPUT!BW66</f>
        <v>105151259.22625338</v>
      </c>
      <c r="J436" s="175">
        <f>INPUT!BX66</f>
        <v>109913620.18406133</v>
      </c>
      <c r="K436" s="174">
        <f>IF(INPUT!CH66&lt;=0,(INPUT!AO66/10^6-G356/G436-H356/H436-I356/I436)*J436,-(INPUT!AP66/10^6+G356/G436+H356/H436+I356/I436)*J436)</f>
        <v>-41669.926399814278</v>
      </c>
      <c r="L436" s="343">
        <f>MIN(ABS(F436),ABS(K436))</f>
        <v>41669.926399814278</v>
      </c>
      <c r="M436" s="343">
        <f>ABS(G356+H356+I356)+L436</f>
        <v>41761.35544485732</v>
      </c>
      <c r="N436" s="282">
        <f>(M436-N262)/N262</f>
        <v>-0.1503350135555645</v>
      </c>
    </row>
    <row r="437">
      <c r="A437" s="187">
        <f>A357</f>
        <v>101</v>
      </c>
      <c r="B437" s="175">
        <f>INPUT!BQ67</f>
        <v>94594968.220569268</v>
      </c>
      <c r="C437" s="175">
        <f>INPUT!BR67</f>
        <v>94594968.220569268</v>
      </c>
      <c r="D437" s="175">
        <f>INPUT!BS67</f>
        <v>104092098.67581166</v>
      </c>
      <c r="E437" s="175">
        <f>INPUT!BT67</f>
        <v>123240019.78823511</v>
      </c>
      <c r="F437" s="174">
        <f>IF(INPUT!CH67&lt;=0,(INPUT!AP67/10^6-G357/B437-H357/C437-I357/D437)*E437,-(INPUT!AO67/10^6+G357/B437+H357/C437+I357/D437)*E437)</f>
        <v>-46716.135249360021</v>
      </c>
      <c r="G437" s="175">
        <f>INPUT!BU67</f>
        <v>102289002.70150694</v>
      </c>
      <c r="H437" s="175">
        <f>INPUT!BV67</f>
        <v>102289002.70150694</v>
      </c>
      <c r="I437" s="175">
        <f>INPUT!BW67</f>
        <v>105151259.22625338</v>
      </c>
      <c r="J437" s="175">
        <f>INPUT!BX67</f>
        <v>109913620.18406133</v>
      </c>
      <c r="K437" s="174">
        <f>IF(INPUT!CH67&lt;=0,(INPUT!AO67/10^6-G357/G437-H357/H437-I357/I437)*J437,-(INPUT!AP67/10^6+G357/G437+H357/H437+I357/I437)*J437)</f>
        <v>-41669.926399814278</v>
      </c>
      <c r="L437" s="343">
        <f>MIN(ABS(F437),ABS(K437))</f>
        <v>41669.926399814278</v>
      </c>
      <c r="M437" s="343">
        <f>ABS(G357+H357+I357)+L437</f>
        <v>41761.35544485732</v>
      </c>
      <c r="N437" s="282">
        <f>(M437-N263)/N263</f>
        <v>-0.1503350135555645</v>
      </c>
    </row>
    <row r="438">
      <c r="A438" s="187">
        <f>A358</f>
        <v>101</v>
      </c>
      <c r="B438" s="175">
        <f>INPUT!BQ68</f>
        <v>94594968.220569268</v>
      </c>
      <c r="C438" s="175">
        <f>INPUT!BR68</f>
        <v>94594968.220569268</v>
      </c>
      <c r="D438" s="175">
        <f>INPUT!BS68</f>
        <v>104092098.67581166</v>
      </c>
      <c r="E438" s="175">
        <f>INPUT!BT68</f>
        <v>123240019.78823511</v>
      </c>
      <c r="F438" s="174">
        <f>IF(INPUT!CH68&lt;=0,(INPUT!AP68/10^6-G358/B438-H358/C438-I358/D438)*E438,-(INPUT!AO68/10^6+G358/B438+H358/C438+I358/D438)*E438)</f>
        <v>-46716.135249360021</v>
      </c>
      <c r="G438" s="175">
        <f>INPUT!BU68</f>
        <v>102289002.70150694</v>
      </c>
      <c r="H438" s="175">
        <f>INPUT!BV68</f>
        <v>102289002.70150694</v>
      </c>
      <c r="I438" s="175">
        <f>INPUT!BW68</f>
        <v>105151259.22625338</v>
      </c>
      <c r="J438" s="175">
        <f>INPUT!BX68</f>
        <v>109913620.18406133</v>
      </c>
      <c r="K438" s="174">
        <f>IF(INPUT!CH68&lt;=0,(INPUT!AO68/10^6-G358/G438-H358/H438-I358/I438)*J438,-(INPUT!AP68/10^6+G358/G438+H358/H438+I358/I438)*J438)</f>
        <v>-41669.926399814278</v>
      </c>
      <c r="L438" s="343">
        <f>MIN(ABS(F438),ABS(K438))</f>
        <v>41669.926399814278</v>
      </c>
      <c r="M438" s="343">
        <f>ABS(G358+H358+I358)+L438</f>
        <v>41761.35544485732</v>
      </c>
      <c r="N438" s="282">
        <f>(M438-N264)/N264</f>
        <v>-0.1503350135555645</v>
      </c>
    </row>
    <row r="439">
      <c r="A439" s="187">
        <f>A359</f>
        <v>101</v>
      </c>
      <c r="B439" s="175">
        <f>INPUT!BQ69</f>
        <v>94594968.220569268</v>
      </c>
      <c r="C439" s="175">
        <f>INPUT!BR69</f>
        <v>94594968.220569268</v>
      </c>
      <c r="D439" s="175">
        <f>INPUT!BS69</f>
        <v>104092098.67581166</v>
      </c>
      <c r="E439" s="175">
        <f>INPUT!BT69</f>
        <v>123240019.78823511</v>
      </c>
      <c r="F439" s="174">
        <f>IF(INPUT!CH69&lt;=0,(INPUT!AP69/10^6-G359/B439-H359/C439-I359/D439)*E439,-(INPUT!AO69/10^6+G359/B439+H359/C439+I359/D439)*E439)</f>
        <v>-46716.135249360021</v>
      </c>
      <c r="G439" s="175">
        <f>INPUT!BU69</f>
        <v>102289002.70150694</v>
      </c>
      <c r="H439" s="175">
        <f>INPUT!BV69</f>
        <v>102289002.70150694</v>
      </c>
      <c r="I439" s="175">
        <f>INPUT!BW69</f>
        <v>105151259.22625338</v>
      </c>
      <c r="J439" s="175">
        <f>INPUT!BX69</f>
        <v>109913620.18406133</v>
      </c>
      <c r="K439" s="174">
        <f>IF(INPUT!CH69&lt;=0,(INPUT!AO69/10^6-G359/G439-H359/H439-I359/I439)*J439,-(INPUT!AP69/10^6+G359/G439+H359/H439+I359/I439)*J439)</f>
        <v>-41669.926399814278</v>
      </c>
      <c r="L439" s="343">
        <f>MIN(ABS(F439),ABS(K439))</f>
        <v>41669.926399814278</v>
      </c>
      <c r="M439" s="343">
        <f>ABS(G359+H359+I359)+L439</f>
        <v>41761.35544485732</v>
      </c>
      <c r="N439" s="282">
        <f>(M439-N265)/N265</f>
        <v>-0.1503350135555645</v>
      </c>
    </row>
    <row r="440">
      <c r="A440" s="187">
        <f>A360</f>
        <v>101</v>
      </c>
      <c r="B440" s="175">
        <f>INPUT!BQ70</f>
        <v>94594968.220569268</v>
      </c>
      <c r="C440" s="175">
        <f>INPUT!BR70</f>
        <v>94594968.220569268</v>
      </c>
      <c r="D440" s="175">
        <f>INPUT!BS70</f>
        <v>104092098.67581166</v>
      </c>
      <c r="E440" s="175">
        <f>INPUT!BT70</f>
        <v>123240019.78823511</v>
      </c>
      <c r="F440" s="174">
        <f>IF(INPUT!CH70&lt;=0,(INPUT!AP70/10^6-G360/B440-H360/C440-I360/D440)*E440,-(INPUT!AO70/10^6+G360/B440+H360/C440+I360/D440)*E440)</f>
        <v>-46716.135249360021</v>
      </c>
      <c r="G440" s="175">
        <f>INPUT!BU70</f>
        <v>102289002.70150694</v>
      </c>
      <c r="H440" s="175">
        <f>INPUT!BV70</f>
        <v>102289002.70150694</v>
      </c>
      <c r="I440" s="175">
        <f>INPUT!BW70</f>
        <v>105151259.22625338</v>
      </c>
      <c r="J440" s="175">
        <f>INPUT!BX70</f>
        <v>109913620.18406133</v>
      </c>
      <c r="K440" s="174">
        <f>IF(INPUT!CH70&lt;=0,(INPUT!AO70/10^6-G360/G440-H360/H440-I360/I440)*J440,-(INPUT!AP70/10^6+G360/G440+H360/H440+I360/I440)*J440)</f>
        <v>-41669.926399814278</v>
      </c>
      <c r="L440" s="343">
        <f>MIN(ABS(F440),ABS(K440))</f>
        <v>41669.926399814278</v>
      </c>
      <c r="M440" s="343">
        <f>ABS(G360+H360+I360)+L440</f>
        <v>41761.35544485732</v>
      </c>
      <c r="N440" s="282">
        <f>(M440-N266)/N266</f>
        <v>-0.1503350135555645</v>
      </c>
    </row>
    <row r="441">
      <c r="A441" s="187">
        <f>A361</f>
        <v>101</v>
      </c>
      <c r="B441" s="175">
        <f>INPUT!BQ71</f>
        <v>94594968.220569268</v>
      </c>
      <c r="C441" s="175">
        <f>INPUT!BR71</f>
        <v>94594968.220569268</v>
      </c>
      <c r="D441" s="175">
        <f>INPUT!BS71</f>
        <v>104092098.67581166</v>
      </c>
      <c r="E441" s="175">
        <f>INPUT!BT71</f>
        <v>123240019.78823511</v>
      </c>
      <c r="F441" s="174">
        <f>IF(INPUT!CH71&lt;=0,(INPUT!AP71/10^6-G361/B441-H361/C441-I361/D441)*E441,-(INPUT!AO71/10^6+G361/B441+H361/C441+I361/D441)*E441)</f>
        <v>-46716.135249360021</v>
      </c>
      <c r="G441" s="175">
        <f>INPUT!BU71</f>
        <v>102289002.70150694</v>
      </c>
      <c r="H441" s="175">
        <f>INPUT!BV71</f>
        <v>102289002.70150694</v>
      </c>
      <c r="I441" s="175">
        <f>INPUT!BW71</f>
        <v>105151259.22625338</v>
      </c>
      <c r="J441" s="175">
        <f>INPUT!BX71</f>
        <v>109913620.18406133</v>
      </c>
      <c r="K441" s="174">
        <f>IF(INPUT!CH71&lt;=0,(INPUT!AO71/10^6-G361/G441-H361/H441-I361/I441)*J441,-(INPUT!AP71/10^6+G361/G441+H361/H441+I361/I441)*J441)</f>
        <v>-41669.926399814278</v>
      </c>
      <c r="L441" s="343">
        <f>MIN(ABS(F441),ABS(K441))</f>
        <v>41669.926399814278</v>
      </c>
      <c r="M441" s="343">
        <f>ABS(G361+H361+I361)+L441</f>
        <v>41761.35544485732</v>
      </c>
      <c r="N441" s="282">
        <f>(M441-N267)/N267</f>
        <v>-0.1503350135555645</v>
      </c>
    </row>
    <row r="442">
      <c r="A442" s="187">
        <f>A362</f>
        <v>101</v>
      </c>
      <c r="B442" s="175">
        <f>INPUT!BQ72</f>
        <v>94594968.220569268</v>
      </c>
      <c r="C442" s="175">
        <f>INPUT!BR72</f>
        <v>94594968.220569268</v>
      </c>
      <c r="D442" s="175">
        <f>INPUT!BS72</f>
        <v>104092098.67581166</v>
      </c>
      <c r="E442" s="175">
        <f>INPUT!BT72</f>
        <v>123240019.78823511</v>
      </c>
      <c r="F442" s="174">
        <f>IF(INPUT!CH72&lt;=0,(INPUT!AP72/10^6-G362/B442-H362/C442-I362/D442)*E442,-(INPUT!AO72/10^6+G362/B442+H362/C442+I362/D442)*E442)</f>
        <v>-46716.135249360021</v>
      </c>
      <c r="G442" s="175">
        <f>INPUT!BU72</f>
        <v>102289002.70150694</v>
      </c>
      <c r="H442" s="175">
        <f>INPUT!BV72</f>
        <v>102289002.70150694</v>
      </c>
      <c r="I442" s="175">
        <f>INPUT!BW72</f>
        <v>105151259.22625338</v>
      </c>
      <c r="J442" s="175">
        <f>INPUT!BX72</f>
        <v>109913620.18406133</v>
      </c>
      <c r="K442" s="174">
        <f>IF(INPUT!CH72&lt;=0,(INPUT!AO72/10^6-G362/G442-H362/H442-I362/I442)*J442,-(INPUT!AP72/10^6+G362/G442+H362/H442+I362/I442)*J442)</f>
        <v>-41669.926399814278</v>
      </c>
      <c r="L442" s="343">
        <f>MIN(ABS(F442),ABS(K442))</f>
        <v>41669.926399814278</v>
      </c>
      <c r="M442" s="343">
        <f>ABS(G362+H362+I362)+L442</f>
        <v>41761.35544485732</v>
      </c>
      <c r="N442" s="282">
        <f>(M442-N268)/N268</f>
        <v>-0.1503350135555645</v>
      </c>
    </row>
    <row r="443">
      <c r="A443" s="187">
        <f>A363</f>
        <v>101</v>
      </c>
      <c r="B443" s="175">
        <f>INPUT!BQ73</f>
        <v>94594968.220569268</v>
      </c>
      <c r="C443" s="175">
        <f>INPUT!BR73</f>
        <v>94594968.220569268</v>
      </c>
      <c r="D443" s="175">
        <f>INPUT!BS73</f>
        <v>104092098.67581166</v>
      </c>
      <c r="E443" s="175">
        <f>INPUT!BT73</f>
        <v>123240019.78823511</v>
      </c>
      <c r="F443" s="174">
        <f>IF(INPUT!CH73&lt;=0,(INPUT!AP73/10^6-G363/B443-H363/C443-I363/D443)*E443,-(INPUT!AO73/10^6+G363/B443+H363/C443+I363/D443)*E443)</f>
        <v>-46716.135249360021</v>
      </c>
      <c r="G443" s="175">
        <f>INPUT!BU73</f>
        <v>102289002.70150694</v>
      </c>
      <c r="H443" s="175">
        <f>INPUT!BV73</f>
        <v>102289002.70150694</v>
      </c>
      <c r="I443" s="175">
        <f>INPUT!BW73</f>
        <v>105151259.22625338</v>
      </c>
      <c r="J443" s="175">
        <f>INPUT!BX73</f>
        <v>109913620.18406133</v>
      </c>
      <c r="K443" s="174">
        <f>IF(INPUT!CH73&lt;=0,(INPUT!AO73/10^6-G363/G443-H363/H443-I363/I443)*J443,-(INPUT!AP73/10^6+G363/G443+H363/H443+I363/I443)*J443)</f>
        <v>-41669.926399814278</v>
      </c>
      <c r="L443" s="343">
        <f>MIN(ABS(F443),ABS(K443))</f>
        <v>41669.926399814278</v>
      </c>
      <c r="M443" s="343">
        <f>ABS(G363+H363+I363)+L443</f>
        <v>41761.35544485732</v>
      </c>
      <c r="N443" s="282">
        <f>(M443-N269)/N269</f>
        <v>-0.1503350135555645</v>
      </c>
    </row>
    <row r="444">
      <c r="A444" s="187">
        <f>A364</f>
        <v>101</v>
      </c>
      <c r="B444" s="175">
        <f>INPUT!BQ74</f>
        <v>94594968.220569268</v>
      </c>
      <c r="C444" s="175">
        <f>INPUT!BR74</f>
        <v>94594968.220569268</v>
      </c>
      <c r="D444" s="175">
        <f>INPUT!BS74</f>
        <v>104092098.67581166</v>
      </c>
      <c r="E444" s="175">
        <f>INPUT!BT74</f>
        <v>123240019.78823511</v>
      </c>
      <c r="F444" s="174">
        <f>IF(INPUT!CH74&lt;=0,(INPUT!AP74/10^6-G364/B444-H364/C444-I364/D444)*E444,-(INPUT!AO74/10^6+G364/B444+H364/C444+I364/D444)*E444)</f>
        <v>-46716.135249360021</v>
      </c>
      <c r="G444" s="175">
        <f>INPUT!BU74</f>
        <v>102289002.70150694</v>
      </c>
      <c r="H444" s="175">
        <f>INPUT!BV74</f>
        <v>102289002.70150694</v>
      </c>
      <c r="I444" s="175">
        <f>INPUT!BW74</f>
        <v>105151259.22625338</v>
      </c>
      <c r="J444" s="175">
        <f>INPUT!BX74</f>
        <v>109913620.18406133</v>
      </c>
      <c r="K444" s="174">
        <f>IF(INPUT!CH74&lt;=0,(INPUT!AO74/10^6-G364/G444-H364/H444-I364/I444)*J444,-(INPUT!AP74/10^6+G364/G444+H364/H444+I364/I444)*J444)</f>
        <v>-41669.926399814278</v>
      </c>
      <c r="L444" s="343">
        <f>MIN(ABS(F444),ABS(K444))</f>
        <v>41669.926399814278</v>
      </c>
      <c r="M444" s="343">
        <f>ABS(G364+H364+I364)+L444</f>
        <v>41761.35544485732</v>
      </c>
      <c r="N444" s="282">
        <f>(M444-N270)/N270</f>
        <v>-0.1503350135555645</v>
      </c>
    </row>
    <row r="445">
      <c r="A445" s="187">
        <f>A365</f>
        <v>101</v>
      </c>
      <c r="B445" s="175">
        <f>INPUT!BQ75</f>
        <v>94594968.220569268</v>
      </c>
      <c r="C445" s="175">
        <f>INPUT!BR75</f>
        <v>94594968.220569268</v>
      </c>
      <c r="D445" s="175">
        <f>INPUT!BS75</f>
        <v>104092098.67581166</v>
      </c>
      <c r="E445" s="175">
        <f>INPUT!BT75</f>
        <v>123240019.78823511</v>
      </c>
      <c r="F445" s="174">
        <f>IF(INPUT!CH75&lt;=0,(INPUT!AP75/10^6-G365/B445-H365/C445-I365/D445)*E445,-(INPUT!AO75/10^6+G365/B445+H365/C445+I365/D445)*E445)</f>
        <v>-46716.135249360021</v>
      </c>
      <c r="G445" s="175">
        <f>INPUT!BU75</f>
        <v>102289002.70150694</v>
      </c>
      <c r="H445" s="175">
        <f>INPUT!BV75</f>
        <v>102289002.70150694</v>
      </c>
      <c r="I445" s="175">
        <f>INPUT!BW75</f>
        <v>105151259.22625338</v>
      </c>
      <c r="J445" s="175">
        <f>INPUT!BX75</f>
        <v>109913620.18406133</v>
      </c>
      <c r="K445" s="174">
        <f>IF(INPUT!CH75&lt;=0,(INPUT!AO75/10^6-G365/G445-H365/H445-I365/I445)*J445,-(INPUT!AP75/10^6+G365/G445+H365/H445+I365/I445)*J445)</f>
        <v>-41669.926399814278</v>
      </c>
      <c r="L445" s="343">
        <f>MIN(ABS(F445),ABS(K445))</f>
        <v>41669.926399814278</v>
      </c>
      <c r="M445" s="343">
        <f>ABS(G365+H365+I365)+L445</f>
        <v>41761.35544485732</v>
      </c>
      <c r="N445" s="282">
        <f>(M445-N271)/N271</f>
        <v>-0.1503350135555645</v>
      </c>
    </row>
    <row r="446">
      <c r="A446" s="187">
        <f>A366</f>
        <v>101</v>
      </c>
      <c r="B446" s="175">
        <f>INPUT!BQ76</f>
        <v>94594968.220569268</v>
      </c>
      <c r="C446" s="175">
        <f>INPUT!BR76</f>
        <v>94594968.220569268</v>
      </c>
      <c r="D446" s="175">
        <f>INPUT!BS76</f>
        <v>104092098.67581166</v>
      </c>
      <c r="E446" s="175">
        <f>INPUT!BT76</f>
        <v>123240019.78823511</v>
      </c>
      <c r="F446" s="174">
        <f>IF(INPUT!CH76&lt;=0,(INPUT!AP76/10^6-G366/B446-H366/C446-I366/D446)*E446,-(INPUT!AO76/10^6+G366/B446+H366/C446+I366/D446)*E446)</f>
        <v>-46716.135249360021</v>
      </c>
      <c r="G446" s="175">
        <f>INPUT!BU76</f>
        <v>102289002.70150694</v>
      </c>
      <c r="H446" s="175">
        <f>INPUT!BV76</f>
        <v>102289002.70150694</v>
      </c>
      <c r="I446" s="175">
        <f>INPUT!BW76</f>
        <v>105151259.22625338</v>
      </c>
      <c r="J446" s="175">
        <f>INPUT!BX76</f>
        <v>109913620.18406133</v>
      </c>
      <c r="K446" s="174">
        <f>IF(INPUT!CH76&lt;=0,(INPUT!AO76/10^6-G366/G446-H366/H446-I366/I446)*J446,-(INPUT!AP76/10^6+G366/G446+H366/H446+I366/I446)*J446)</f>
        <v>-41669.926399814278</v>
      </c>
      <c r="L446" s="343">
        <f>MIN(ABS(F446),ABS(K446))</f>
        <v>41669.926399814278</v>
      </c>
      <c r="M446" s="343">
        <f>ABS(G366+H366+I366)+L446</f>
        <v>41761.35544485732</v>
      </c>
      <c r="N446" s="282">
        <f>(M446-N272)/N272</f>
        <v>-0.1503350135555645</v>
      </c>
    </row>
    <row r="447">
      <c r="A447" s="187">
        <f>A367</f>
        <v>101</v>
      </c>
      <c r="B447" s="175">
        <f>INPUT!BQ77</f>
        <v>94594968.220569268</v>
      </c>
      <c r="C447" s="175">
        <f>INPUT!BR77</f>
        <v>94594968.220569268</v>
      </c>
      <c r="D447" s="175">
        <f>INPUT!BS77</f>
        <v>104092098.67581166</v>
      </c>
      <c r="E447" s="175">
        <f>INPUT!BT77</f>
        <v>123240019.78823511</v>
      </c>
      <c r="F447" s="174">
        <f>IF(INPUT!CH77&lt;=0,(INPUT!AP77/10^6-G367/B447-H367/C447-I367/D447)*E447,-(INPUT!AO77/10^6+G367/B447+H367/C447+I367/D447)*E447)</f>
        <v>-46716.135249360021</v>
      </c>
      <c r="G447" s="175">
        <f>INPUT!BU77</f>
        <v>102289002.70150694</v>
      </c>
      <c r="H447" s="175">
        <f>INPUT!BV77</f>
        <v>102289002.70150694</v>
      </c>
      <c r="I447" s="175">
        <f>INPUT!BW77</f>
        <v>105151259.22625338</v>
      </c>
      <c r="J447" s="175">
        <f>INPUT!BX77</f>
        <v>109913620.18406133</v>
      </c>
      <c r="K447" s="174">
        <f>IF(INPUT!CH77&lt;=0,(INPUT!AO77/10^6-G367/G447-H367/H447-I367/I447)*J447,-(INPUT!AP77/10^6+G367/G447+H367/H447+I367/I447)*J447)</f>
        <v>-41669.926399814278</v>
      </c>
      <c r="L447" s="343">
        <f>MIN(ABS(F447),ABS(K447))</f>
        <v>41669.926399814278</v>
      </c>
      <c r="M447" s="343">
        <f>ABS(G367+H367+I367)+L447</f>
        <v>41761.35544485732</v>
      </c>
      <c r="N447" s="282">
        <f>(M447-N273)/N273</f>
        <v>-0.1503350135555645</v>
      </c>
    </row>
    <row r="448">
      <c r="A448" s="187">
        <f>A368</f>
        <v>101</v>
      </c>
      <c r="B448" s="175">
        <f>INPUT!BQ78</f>
        <v>94594968.220569268</v>
      </c>
      <c r="C448" s="175">
        <f>INPUT!BR78</f>
        <v>94594968.220569268</v>
      </c>
      <c r="D448" s="175">
        <f>INPUT!BS78</f>
        <v>104092098.67581166</v>
      </c>
      <c r="E448" s="175">
        <f>INPUT!BT78</f>
        <v>123240019.78823511</v>
      </c>
      <c r="F448" s="174">
        <f>IF(INPUT!CH78&lt;=0,(INPUT!AP78/10^6-G368/B448-H368/C448-I368/D448)*E448,-(INPUT!AO78/10^6+G368/B448+H368/C448+I368/D448)*E448)</f>
        <v>-46716.135249360021</v>
      </c>
      <c r="G448" s="175">
        <f>INPUT!BU78</f>
        <v>102289002.70150694</v>
      </c>
      <c r="H448" s="175">
        <f>INPUT!BV78</f>
        <v>102289002.70150694</v>
      </c>
      <c r="I448" s="175">
        <f>INPUT!BW78</f>
        <v>105151259.22625338</v>
      </c>
      <c r="J448" s="175">
        <f>INPUT!BX78</f>
        <v>109913620.18406133</v>
      </c>
      <c r="K448" s="174">
        <f>IF(INPUT!CH78&lt;=0,(INPUT!AO78/10^6-G368/G448-H368/H448-I368/I448)*J448,-(INPUT!AP78/10^6+G368/G448+H368/H448+I368/I448)*J448)</f>
        <v>-41669.926399814278</v>
      </c>
      <c r="L448" s="343">
        <f>MIN(ABS(F448),ABS(K448))</f>
        <v>41669.926399814278</v>
      </c>
      <c r="M448" s="343">
        <f>ABS(G368+H368+I368)+L448</f>
        <v>41761.35544485732</v>
      </c>
      <c r="N448" s="282">
        <f>(M448-N274)/N274</f>
        <v>-0.1503350135555645</v>
      </c>
    </row>
    <row r="449" ht="15" customHeight="1">
      <c r="A449" s="40"/>
      <c r="B449" s="4"/>
      <c r="C449" s="4"/>
      <c r="D449" s="4"/>
      <c r="E449" s="4"/>
      <c r="F449" s="4"/>
      <c r="G449" s="110"/>
      <c r="H449" s="110"/>
      <c r="I449" s="110"/>
      <c r="J449" s="4"/>
      <c r="K449" s="4"/>
      <c r="L449" s="207"/>
      <c r="M449" s="4"/>
      <c r="N449" s="4"/>
    </row>
    <row r="450" ht="15" customHeight="1">
      <c r="A450" s="40"/>
      <c r="B450" s="4"/>
      <c r="C450" s="4"/>
      <c r="D450" s="4"/>
      <c r="E450" s="4"/>
      <c r="F450" s="4"/>
      <c r="G450" s="110"/>
      <c r="H450" s="110"/>
      <c r="I450" s="110"/>
      <c r="J450" s="4"/>
      <c r="K450" s="4"/>
      <c r="L450" s="207"/>
      <c r="M450" s="4"/>
      <c r="N450" s="4"/>
    </row>
    <row r="451" ht="15" customHeight="1" s="4" customFormat="1">
      <c r="A451" s="39" t="s">
        <v>761</v>
      </c>
      <c r="G451" s="110"/>
      <c r="H451" s="110"/>
      <c r="I451" s="110"/>
      <c r="L451" s="207"/>
      <c r="N451" s="234" t="s">
        <v>762</v>
      </c>
      <c r="O451" s="296"/>
      <c r="P451" s="64"/>
      <c r="Z451" s="207"/>
      <c r="AB451" s="40"/>
      <c r="AE451" s="207"/>
    </row>
    <row r="452" ht="15" customHeight="1" s="4" customFormat="1">
      <c r="A452" s="39"/>
      <c r="G452" s="110"/>
      <c r="H452" s="110"/>
      <c r="I452" s="110"/>
      <c r="L452" s="207"/>
      <c r="O452" s="306"/>
      <c r="P452" s="64"/>
      <c r="Z452" s="207"/>
      <c r="AB452" s="40"/>
      <c r="AE452" s="207"/>
    </row>
    <row r="453" ht="15" customHeight="1" s="4" customFormat="1">
      <c r="A453" s="260" t="s">
        <v>197</v>
      </c>
      <c r="B453" s="4" t="s">
        <v>763</v>
      </c>
      <c r="G453" s="110"/>
      <c r="H453" s="110"/>
      <c r="I453" s="110"/>
      <c r="L453" s="207"/>
      <c r="O453" s="307"/>
      <c r="P453" s="64"/>
      <c r="Z453" s="207"/>
      <c r="AB453" s="207"/>
      <c r="AE453" s="207"/>
    </row>
    <row r="454" ht="15" customHeight="1" s="4" customFormat="1">
      <c r="D454" s="19" t="s">
        <v>764</v>
      </c>
      <c r="G454" s="110"/>
      <c r="H454" s="110"/>
      <c r="I454" s="110"/>
      <c r="L454" s="207"/>
      <c r="O454" s="307"/>
      <c r="P454" s="64"/>
      <c r="Z454" s="207"/>
      <c r="AB454" s="207"/>
      <c r="AE454" s="207"/>
    </row>
    <row r="455" ht="15" customHeight="1" s="4" customFormat="1">
      <c r="A455" s="260" t="s">
        <v>197</v>
      </c>
      <c r="B455" s="4" t="s">
        <v>765</v>
      </c>
      <c r="D455" s="19"/>
      <c r="G455" s="110"/>
      <c r="H455" s="110"/>
      <c r="I455" s="110"/>
      <c r="L455" s="207"/>
      <c r="O455" s="307"/>
      <c r="P455" s="64"/>
      <c r="Z455" s="207"/>
      <c r="AB455" s="207"/>
      <c r="AE455" s="207"/>
    </row>
    <row r="456" ht="15" customHeight="1" s="4" customFormat="1">
      <c r="C456" s="287"/>
      <c r="D456" s="19" t="s">
        <v>528</v>
      </c>
      <c r="H456" s="109"/>
      <c r="I456" s="132"/>
      <c r="J456" s="109"/>
      <c r="L456" s="132"/>
      <c r="M456" s="132"/>
      <c r="N456" s="134"/>
      <c r="O456" s="307"/>
      <c r="P456" s="64"/>
      <c r="R456" s="109"/>
      <c r="Z456" s="207"/>
      <c r="AB456" s="207"/>
      <c r="AE456" s="207"/>
    </row>
    <row r="457" ht="15" customHeight="1" s="4" customFormat="1">
      <c r="B457" s="19"/>
      <c r="D457" s="109"/>
      <c r="G457" s="110"/>
      <c r="H457" s="110"/>
      <c r="I457" s="110"/>
      <c r="L457" s="207"/>
      <c r="O457" s="307"/>
      <c r="P457" s="64"/>
      <c r="Z457" s="207"/>
      <c r="AB457" s="207"/>
      <c r="AE457" s="207"/>
    </row>
    <row r="458" ht="15" customHeight="1" s="4" customFormat="1">
      <c r="B458" s="4" t="s">
        <v>171</v>
      </c>
      <c r="C458" s="19"/>
      <c r="E458" s="109"/>
      <c r="G458" s="110"/>
      <c r="H458" s="110"/>
      <c r="I458" s="110"/>
      <c r="L458" s="207"/>
      <c r="O458" s="307"/>
      <c r="P458" s="64"/>
      <c r="Z458" s="207"/>
      <c r="AB458" s="207"/>
      <c r="AE458" s="207"/>
    </row>
    <row r="459" ht="15" customHeight="1" s="4" customFormat="1">
      <c r="B459" s="4" t="s">
        <v>766</v>
      </c>
      <c r="C459" s="30" t="s">
        <v>173</v>
      </c>
      <c r="D459" s="4" t="s">
        <v>767</v>
      </c>
      <c r="G459" s="110"/>
      <c r="H459" s="110"/>
      <c r="I459" s="110"/>
      <c r="L459" s="207"/>
      <c r="O459" s="307"/>
      <c r="P459" s="64"/>
      <c r="Z459" s="207"/>
      <c r="AB459" s="207"/>
      <c r="AE459" s="207"/>
    </row>
    <row r="460" ht="15" customHeight="1" s="4" customFormat="1">
      <c r="B460" s="4" t="s">
        <v>768</v>
      </c>
      <c r="C460" s="30" t="s">
        <v>173</v>
      </c>
      <c r="D460" s="4" t="s">
        <v>769</v>
      </c>
      <c r="G460" s="110"/>
      <c r="H460" s="110"/>
      <c r="I460" s="110"/>
      <c r="L460" s="207"/>
      <c r="O460" s="307"/>
      <c r="P460" s="64"/>
      <c r="Z460" s="207"/>
      <c r="AB460" s="207"/>
      <c r="AE460" s="207"/>
    </row>
    <row r="461" ht="15" customHeight="1" s="4" customFormat="1">
      <c r="D461" s="30"/>
      <c r="G461" s="110"/>
      <c r="H461" s="110"/>
      <c r="I461" s="110"/>
      <c r="L461" s="207"/>
      <c r="O461" s="307"/>
      <c r="P461" s="64"/>
      <c r="Z461" s="207"/>
      <c r="AB461" s="207"/>
      <c r="AE461" s="207"/>
    </row>
    <row r="462" ht="15" customHeight="1" s="4" customFormat="1">
      <c r="D462" s="30"/>
      <c r="G462" s="110"/>
      <c r="H462" s="110"/>
      <c r="I462" s="110"/>
      <c r="L462" s="207"/>
      <c r="O462" s="307"/>
      <c r="P462" s="64"/>
      <c r="Z462" s="207"/>
      <c r="AB462" s="207"/>
      <c r="AE462" s="207"/>
    </row>
    <row r="463" ht="15" customHeight="1" s="4" customFormat="1">
      <c r="D463" s="30"/>
      <c r="G463" s="110"/>
      <c r="H463" s="110"/>
      <c r="I463" s="110"/>
      <c r="L463" s="207"/>
      <c r="O463" s="307"/>
      <c r="P463" s="64"/>
      <c r="Z463" s="207"/>
      <c r="AB463" s="207"/>
      <c r="AE463" s="207"/>
    </row>
    <row r="464" ht="15" customHeight="1" s="4" customFormat="1">
      <c r="D464" s="30"/>
      <c r="G464" s="110"/>
      <c r="H464" s="110"/>
      <c r="I464" s="110"/>
      <c r="L464" s="207"/>
      <c r="O464" s="307"/>
      <c r="P464" s="64"/>
      <c r="Z464" s="207"/>
      <c r="AB464" s="207"/>
      <c r="AE464" s="207"/>
    </row>
    <row r="465" ht="15" customHeight="1" s="4" customFormat="1">
      <c r="D465" s="30"/>
      <c r="G465" s="110"/>
      <c r="H465" s="110"/>
      <c r="I465" s="110"/>
      <c r="L465" s="207"/>
      <c r="O465" s="307"/>
      <c r="P465" s="64"/>
      <c r="Z465" s="207"/>
      <c r="AB465" s="207"/>
      <c r="AE465" s="207"/>
    </row>
    <row r="466" ht="15" customHeight="1" s="4" customFormat="1">
      <c r="D466" s="30"/>
      <c r="G466" s="110"/>
      <c r="H466" s="110"/>
      <c r="I466" s="110"/>
      <c r="L466" s="207"/>
      <c r="O466" s="307"/>
      <c r="P466" s="64"/>
      <c r="Z466" s="207"/>
      <c r="AB466" s="207"/>
      <c r="AE466" s="207"/>
    </row>
    <row r="467" ht="15" customHeight="1" s="4" customFormat="1">
      <c r="D467" s="30"/>
      <c r="G467" s="110"/>
      <c r="H467" s="110"/>
      <c r="I467" s="110"/>
      <c r="L467" s="207"/>
      <c r="O467" s="307"/>
      <c r="P467" s="64"/>
      <c r="Z467" s="207"/>
      <c r="AB467" s="207"/>
      <c r="AE467" s="207"/>
    </row>
    <row r="468" ht="15" customHeight="1" s="4" customFormat="1">
      <c r="D468" s="30"/>
      <c r="G468" s="110"/>
      <c r="H468" s="110"/>
      <c r="I468" s="110"/>
      <c r="L468" s="207"/>
      <c r="O468" s="307"/>
      <c r="P468" s="64"/>
      <c r="Z468" s="207"/>
      <c r="AB468" s="207"/>
      <c r="AE468" s="207"/>
    </row>
    <row r="469" ht="15" customHeight="1" s="4" customFormat="1">
      <c r="D469" s="30"/>
      <c r="G469" s="110"/>
      <c r="H469" s="110"/>
      <c r="I469" s="110"/>
      <c r="L469" s="207"/>
      <c r="O469" s="307"/>
      <c r="P469" s="64"/>
      <c r="Z469" s="207"/>
      <c r="AB469" s="207"/>
      <c r="AE469" s="207"/>
    </row>
    <row r="470" ht="15" customHeight="1" s="4" customFormat="1">
      <c r="D470" s="30"/>
      <c r="G470" s="110"/>
      <c r="H470" s="110"/>
      <c r="I470" s="110"/>
      <c r="L470" s="207"/>
      <c r="O470" s="307"/>
      <c r="P470" s="64"/>
      <c r="Z470" s="207"/>
      <c r="AB470" s="207"/>
      <c r="AE470" s="207"/>
    </row>
    <row r="471" ht="15" customHeight="1" s="4" customFormat="1">
      <c r="A471" s="288" t="s">
        <v>770</v>
      </c>
      <c r="C471" s="19"/>
      <c r="E471" s="109"/>
      <c r="G471" s="110"/>
      <c r="H471" s="110"/>
      <c r="I471" s="110"/>
      <c r="L471" s="207"/>
      <c r="O471" s="307"/>
      <c r="P471" s="64"/>
      <c r="Z471" s="207"/>
      <c r="AB471" s="207"/>
      <c r="AE471" s="207"/>
    </row>
    <row r="472" ht="15" customHeight="1" s="4" customFormat="1">
      <c r="A472" s="273" t="s">
        <v>230</v>
      </c>
      <c r="B472" s="274" t="s">
        <v>242</v>
      </c>
      <c r="C472" s="494" t="s">
        <v>771</v>
      </c>
      <c r="D472" s="498"/>
      <c r="E472" s="495"/>
      <c r="F472" s="494" t="s">
        <v>772</v>
      </c>
      <c r="G472" s="498"/>
      <c r="H472" s="498"/>
      <c r="I472" s="498"/>
      <c r="J472" s="498"/>
      <c r="K472" s="495"/>
      <c r="L472" s="274" t="s">
        <v>773</v>
      </c>
      <c r="M472" s="275" t="s">
        <v>246</v>
      </c>
      <c r="O472" s="308"/>
      <c r="P472" s="64"/>
      <c r="R472" s="207"/>
    </row>
    <row r="473" ht="15" customHeight="1" s="4" customFormat="1">
      <c r="A473" s="276"/>
      <c r="B473" s="277" t="s">
        <v>250</v>
      </c>
      <c r="C473" s="277" t="s">
        <v>163</v>
      </c>
      <c r="D473" s="277" t="s">
        <v>724</v>
      </c>
      <c r="E473" s="277" t="s">
        <v>774</v>
      </c>
      <c r="F473" s="277" t="s">
        <v>356</v>
      </c>
      <c r="G473" s="277" t="s">
        <v>357</v>
      </c>
      <c r="H473" s="277" t="s">
        <v>25</v>
      </c>
      <c r="I473" s="277" t="s">
        <v>775</v>
      </c>
      <c r="J473" s="277" t="s">
        <v>776</v>
      </c>
      <c r="K473" s="277" t="s">
        <v>777</v>
      </c>
      <c r="L473" s="277"/>
      <c r="M473" s="278"/>
      <c r="O473" s="308"/>
      <c r="P473" s="64"/>
      <c r="R473" s="372"/>
    </row>
    <row r="474" ht="15" customHeight="1">
      <c r="A474" s="187">
        <f>A373</f>
        <v>101</v>
      </c>
      <c r="B474" s="175" t="str">
        <f>IF(INPUT!CH3&lt;=0,"Positive","Negative")</f>
        <v>Negative</v>
      </c>
      <c r="C474" s="174" t="str">
        <f>L199</f>
        <v>8</v>
      </c>
      <c r="D474" s="191">
        <f>M199</f>
        <v>1245.273804662846</v>
      </c>
      <c r="E474" s="191">
        <f>IF(OR(C474="1",C474="a"),J474+I474+D474,IF(OR(C474="8",C474="b",C474="c",C474="d"),H474-D474,IF(C474="2",J474+I474-F474+D474,IF(C474=9,F474-D474+H474,D474))))</f>
        <v>1554.726195337154</v>
      </c>
      <c r="F474" s="174">
        <f>INPUT!J3</f>
        <v>22</v>
      </c>
      <c r="G474" s="174">
        <f>INPUT!L3</f>
        <v>12</v>
      </c>
      <c r="H474" s="174">
        <f>INPUT!N3</f>
        <v>2800</v>
      </c>
      <c r="I474" s="174">
        <f>INPUT!S3</f>
        <v>0</v>
      </c>
      <c r="J474" s="174">
        <f>INPUT!R3</f>
        <v>290</v>
      </c>
      <c r="K474" s="191">
        <f>IF(B474="Positive",G474+H474+I474+J474,F474+H474)</f>
        <v>2822</v>
      </c>
      <c r="L474" s="191">
        <f>0.42*K474</f>
        <v>1185.24</v>
      </c>
      <c r="M474" s="391" t="str">
        <f>IF(AND(INPUT!CH3&gt;=0,INPUT!Q3=0),"-",IF(E474&lt;=0.42*K474,"OK","NG"))</f>
        <v>-</v>
      </c>
      <c r="N474" s="4"/>
      <c r="Q474" s="4"/>
      <c r="R474" s="372"/>
      <c r="S474" s="4"/>
    </row>
    <row r="475">
      <c r="A475" s="187">
        <f>A374</f>
        <v>101</v>
      </c>
      <c r="B475" s="175" t="str">
        <f>IF(INPUT!CH4&lt;=0,"Positive","Negative")</f>
        <v>Negative</v>
      </c>
      <c r="C475" s="174" t="str">
        <f>L200</f>
        <v>8</v>
      </c>
      <c r="D475" s="191">
        <f>M200</f>
        <v>1245.273804662846</v>
      </c>
      <c r="E475" s="191">
        <f>IF(OR(C475="1",C475="a"),J475+I475+D475,IF(OR(C475="8",C475="b",C475="c",C475="d"),H475-D475,IF(C475="2",J475+I475-F475+D475,IF(C475=9,F475-D475+H475,D475))))</f>
        <v>1554.726195337154</v>
      </c>
      <c r="F475" s="174">
        <f>INPUT!J4</f>
        <v>22</v>
      </c>
      <c r="G475" s="174">
        <f>INPUT!L4</f>
        <v>12</v>
      </c>
      <c r="H475" s="174">
        <f>INPUT!N4</f>
        <v>2800</v>
      </c>
      <c r="I475" s="174">
        <f>INPUT!S4</f>
        <v>0</v>
      </c>
      <c r="J475" s="174">
        <f>INPUT!R4</f>
        <v>290</v>
      </c>
      <c r="K475" s="191">
        <f>IF(B475="Positive",G475+H475+I475+J475,F475+H475)</f>
        <v>2822</v>
      </c>
      <c r="L475" s="191">
        <f>0.42*K475</f>
        <v>1185.24</v>
      </c>
      <c r="M475" s="391" t="str">
        <f>IF(AND(INPUT!CH4&gt;=0,INPUT!Q4=0),"-",IF(E475&lt;=0.42*K475,"OK","NG"))</f>
        <v>-</v>
      </c>
      <c r="N475" s="4"/>
      <c r="Q475" s="4"/>
      <c r="R475" s="372"/>
      <c r="S475" s="4"/>
    </row>
    <row r="476">
      <c r="A476" s="187">
        <f>A375</f>
        <v>101</v>
      </c>
      <c r="B476" s="175" t="str">
        <f>IF(INPUT!CH5&lt;=0,"Positive","Negative")</f>
        <v>Negative</v>
      </c>
      <c r="C476" s="174" t="str">
        <f>L201</f>
        <v>8</v>
      </c>
      <c r="D476" s="191">
        <f>M201</f>
        <v>1245.273804662846</v>
      </c>
      <c r="E476" s="191">
        <f>IF(OR(C476="1",C476="a"),J476+I476+D476,IF(OR(C476="8",C476="b",C476="c",C476="d"),H476-D476,IF(C476="2",J476+I476-F476+D476,IF(C476=9,F476-D476+H476,D476))))</f>
        <v>1554.726195337154</v>
      </c>
      <c r="F476" s="174">
        <f>INPUT!J5</f>
        <v>22</v>
      </c>
      <c r="G476" s="174">
        <f>INPUT!L5</f>
        <v>12</v>
      </c>
      <c r="H476" s="174">
        <f>INPUT!N5</f>
        <v>2800</v>
      </c>
      <c r="I476" s="174">
        <f>INPUT!S5</f>
        <v>0</v>
      </c>
      <c r="J476" s="174">
        <f>INPUT!R5</f>
        <v>290</v>
      </c>
      <c r="K476" s="191">
        <f>IF(B476="Positive",G476+H476+I476+J476,F476+H476)</f>
        <v>2822</v>
      </c>
      <c r="L476" s="191">
        <f>0.42*K476</f>
        <v>1185.24</v>
      </c>
      <c r="M476" s="391" t="str">
        <f>IF(AND(INPUT!CH5&gt;=0,INPUT!Q5=0),"-",IF(E476&lt;=0.42*K476,"OK","NG"))</f>
        <v>-</v>
      </c>
      <c r="N476" s="4"/>
      <c r="Q476" s="4"/>
      <c r="R476" s="372"/>
      <c r="S476" s="4"/>
    </row>
    <row r="477">
      <c r="A477" s="187">
        <f>A376</f>
        <v>101</v>
      </c>
      <c r="B477" s="175" t="str">
        <f>IF(INPUT!CH6&lt;=0,"Positive","Negative")</f>
        <v>Negative</v>
      </c>
      <c r="C477" s="174" t="str">
        <f>L202</f>
        <v>8</v>
      </c>
      <c r="D477" s="191">
        <f>M202</f>
        <v>1245.273804662846</v>
      </c>
      <c r="E477" s="191">
        <f>IF(OR(C477="1",C477="a"),J477+I477+D477,IF(OR(C477="8",C477="b",C477="c",C477="d"),H477-D477,IF(C477="2",J477+I477-F477+D477,IF(C477=9,F477-D477+H477,D477))))</f>
        <v>1554.726195337154</v>
      </c>
      <c r="F477" s="174">
        <f>INPUT!J6</f>
        <v>22</v>
      </c>
      <c r="G477" s="174">
        <f>INPUT!L6</f>
        <v>12</v>
      </c>
      <c r="H477" s="174">
        <f>INPUT!N6</f>
        <v>2800</v>
      </c>
      <c r="I477" s="174">
        <f>INPUT!S6</f>
        <v>0</v>
      </c>
      <c r="J477" s="174">
        <f>INPUT!R6</f>
        <v>290</v>
      </c>
      <c r="K477" s="191">
        <f>IF(B477="Positive",G477+H477+I477+J477,F477+H477)</f>
        <v>2822</v>
      </c>
      <c r="L477" s="191">
        <f>0.42*K477</f>
        <v>1185.24</v>
      </c>
      <c r="M477" s="391" t="str">
        <f>IF(AND(INPUT!CH6&gt;=0,INPUT!Q6=0),"-",IF(E477&lt;=0.42*K477,"OK","NG"))</f>
        <v>-</v>
      </c>
      <c r="N477" s="4"/>
      <c r="Q477" s="4"/>
      <c r="R477" s="372"/>
      <c r="S477" s="4"/>
    </row>
    <row r="478">
      <c r="A478" s="187">
        <f>A377</f>
        <v>101</v>
      </c>
      <c r="B478" s="175" t="str">
        <f>IF(INPUT!CH7&lt;=0,"Positive","Negative")</f>
        <v>Negative</v>
      </c>
      <c r="C478" s="174" t="str">
        <f>L203</f>
        <v>8</v>
      </c>
      <c r="D478" s="191">
        <f>M203</f>
        <v>1245.273804662846</v>
      </c>
      <c r="E478" s="191">
        <f>IF(OR(C478="1",C478="a"),J478+I478+D478,IF(OR(C478="8",C478="b",C478="c",C478="d"),H478-D478,IF(C478="2",J478+I478-F478+D478,IF(C478=9,F478-D478+H478,D478))))</f>
        <v>1554.726195337154</v>
      </c>
      <c r="F478" s="174">
        <f>INPUT!J7</f>
        <v>22</v>
      </c>
      <c r="G478" s="174">
        <f>INPUT!L7</f>
        <v>12</v>
      </c>
      <c r="H478" s="174">
        <f>INPUT!N7</f>
        <v>2800</v>
      </c>
      <c r="I478" s="174">
        <f>INPUT!S7</f>
        <v>0</v>
      </c>
      <c r="J478" s="174">
        <f>INPUT!R7</f>
        <v>290</v>
      </c>
      <c r="K478" s="191">
        <f>IF(B478="Positive",G478+H478+I478+J478,F478+H478)</f>
        <v>2822</v>
      </c>
      <c r="L478" s="191">
        <f>0.42*K478</f>
        <v>1185.24</v>
      </c>
      <c r="M478" s="391" t="str">
        <f>IF(AND(INPUT!CH7&gt;=0,INPUT!Q7=0),"-",IF(E478&lt;=0.42*K478,"OK","NG"))</f>
        <v>-</v>
      </c>
      <c r="N478" s="4"/>
      <c r="Q478" s="4"/>
      <c r="R478" s="372"/>
      <c r="S478" s="4"/>
    </row>
    <row r="479">
      <c r="A479" s="187">
        <f>A378</f>
        <v>101</v>
      </c>
      <c r="B479" s="175" t="str">
        <f>IF(INPUT!CH8&lt;=0,"Positive","Negative")</f>
        <v>Negative</v>
      </c>
      <c r="C479" s="174" t="str">
        <f>L204</f>
        <v>8</v>
      </c>
      <c r="D479" s="191">
        <f>M204</f>
        <v>1245.273804662846</v>
      </c>
      <c r="E479" s="191">
        <f>IF(OR(C479="1",C479="a"),J479+I479+D479,IF(OR(C479="8",C479="b",C479="c",C479="d"),H479-D479,IF(C479="2",J479+I479-F479+D479,IF(C479=9,F479-D479+H479,D479))))</f>
        <v>1554.726195337154</v>
      </c>
      <c r="F479" s="174">
        <f>INPUT!J8</f>
        <v>22</v>
      </c>
      <c r="G479" s="174">
        <f>INPUT!L8</f>
        <v>12</v>
      </c>
      <c r="H479" s="174">
        <f>INPUT!N8</f>
        <v>2800</v>
      </c>
      <c r="I479" s="174">
        <f>INPUT!S8</f>
        <v>0</v>
      </c>
      <c r="J479" s="174">
        <f>INPUT!R8</f>
        <v>290</v>
      </c>
      <c r="K479" s="191">
        <f>IF(B479="Positive",G479+H479+I479+J479,F479+H479)</f>
        <v>2822</v>
      </c>
      <c r="L479" s="191">
        <f>0.42*K479</f>
        <v>1185.24</v>
      </c>
      <c r="M479" s="391" t="str">
        <f>IF(AND(INPUT!CH8&gt;=0,INPUT!Q8=0),"-",IF(E479&lt;=0.42*K479,"OK","NG"))</f>
        <v>-</v>
      </c>
      <c r="N479" s="4"/>
      <c r="Q479" s="4"/>
      <c r="R479" s="372"/>
      <c r="S479" s="4"/>
    </row>
    <row r="480">
      <c r="A480" s="187">
        <f>A379</f>
        <v>101</v>
      </c>
      <c r="B480" s="175" t="str">
        <f>IF(INPUT!CH9&lt;=0,"Positive","Negative")</f>
        <v>Negative</v>
      </c>
      <c r="C480" s="174" t="str">
        <f>L205</f>
        <v>8</v>
      </c>
      <c r="D480" s="191">
        <f>M205</f>
        <v>1245.273804662846</v>
      </c>
      <c r="E480" s="191">
        <f>IF(OR(C480="1",C480="a"),J480+I480+D480,IF(OR(C480="8",C480="b",C480="c",C480="d"),H480-D480,IF(C480="2",J480+I480-F480+D480,IF(C480=9,F480-D480+H480,D480))))</f>
        <v>1554.726195337154</v>
      </c>
      <c r="F480" s="174">
        <f>INPUT!J9</f>
        <v>22</v>
      </c>
      <c r="G480" s="174">
        <f>INPUT!L9</f>
        <v>12</v>
      </c>
      <c r="H480" s="174">
        <f>INPUT!N9</f>
        <v>2800</v>
      </c>
      <c r="I480" s="174">
        <f>INPUT!S9</f>
        <v>0</v>
      </c>
      <c r="J480" s="174">
        <f>INPUT!R9</f>
        <v>290</v>
      </c>
      <c r="K480" s="191">
        <f>IF(B480="Positive",G480+H480+I480+J480,F480+H480)</f>
        <v>2822</v>
      </c>
      <c r="L480" s="191">
        <f>0.42*K480</f>
        <v>1185.24</v>
      </c>
      <c r="M480" s="391" t="str">
        <f>IF(AND(INPUT!CH9&gt;=0,INPUT!Q9=0),"-",IF(E480&lt;=0.42*K480,"OK","NG"))</f>
        <v>-</v>
      </c>
      <c r="N480" s="4"/>
      <c r="Q480" s="4"/>
      <c r="R480" s="372"/>
      <c r="S480" s="4"/>
    </row>
    <row r="481">
      <c r="A481" s="187">
        <f>A380</f>
        <v>101</v>
      </c>
      <c r="B481" s="175" t="str">
        <f>IF(INPUT!CH10&lt;=0,"Positive","Negative")</f>
        <v>Negative</v>
      </c>
      <c r="C481" s="174" t="str">
        <f>L206</f>
        <v>8</v>
      </c>
      <c r="D481" s="191">
        <f>M206</f>
        <v>1245.273804662846</v>
      </c>
      <c r="E481" s="191">
        <f>IF(OR(C481="1",C481="a"),J481+I481+D481,IF(OR(C481="8",C481="b",C481="c",C481="d"),H481-D481,IF(C481="2",J481+I481-F481+D481,IF(C481=9,F481-D481+H481,D481))))</f>
        <v>1554.726195337154</v>
      </c>
      <c r="F481" s="174">
        <f>INPUT!J10</f>
        <v>22</v>
      </c>
      <c r="G481" s="174">
        <f>INPUT!L10</f>
        <v>12</v>
      </c>
      <c r="H481" s="174">
        <f>INPUT!N10</f>
        <v>2800</v>
      </c>
      <c r="I481" s="174">
        <f>INPUT!S10</f>
        <v>0</v>
      </c>
      <c r="J481" s="174">
        <f>INPUT!R10</f>
        <v>290</v>
      </c>
      <c r="K481" s="191">
        <f>IF(B481="Positive",G481+H481+I481+J481,F481+H481)</f>
        <v>2822</v>
      </c>
      <c r="L481" s="191">
        <f>0.42*K481</f>
        <v>1185.24</v>
      </c>
      <c r="M481" s="391" t="str">
        <f>IF(AND(INPUT!CH10&gt;=0,INPUT!Q10=0),"-",IF(E481&lt;=0.42*K481,"OK","NG"))</f>
        <v>-</v>
      </c>
      <c r="N481" s="4"/>
      <c r="Q481" s="4"/>
      <c r="R481" s="372"/>
      <c r="S481" s="4"/>
    </row>
    <row r="482">
      <c r="A482" s="187">
        <f>A381</f>
        <v>101</v>
      </c>
      <c r="B482" s="175" t="str">
        <f>IF(INPUT!CH11&lt;=0,"Positive","Negative")</f>
        <v>Negative</v>
      </c>
      <c r="C482" s="174" t="str">
        <f>L207</f>
        <v>8</v>
      </c>
      <c r="D482" s="191">
        <f>M207</f>
        <v>1245.273804662846</v>
      </c>
      <c r="E482" s="191">
        <f>IF(OR(C482="1",C482="a"),J482+I482+D482,IF(OR(C482="8",C482="b",C482="c",C482="d"),H482-D482,IF(C482="2",J482+I482-F482+D482,IF(C482=9,F482-D482+H482,D482))))</f>
        <v>1554.726195337154</v>
      </c>
      <c r="F482" s="174">
        <f>INPUT!J11</f>
        <v>22</v>
      </c>
      <c r="G482" s="174">
        <f>INPUT!L11</f>
        <v>12</v>
      </c>
      <c r="H482" s="174">
        <f>INPUT!N11</f>
        <v>2800</v>
      </c>
      <c r="I482" s="174">
        <f>INPUT!S11</f>
        <v>0</v>
      </c>
      <c r="J482" s="174">
        <f>INPUT!R11</f>
        <v>290</v>
      </c>
      <c r="K482" s="191">
        <f>IF(B482="Positive",G482+H482+I482+J482,F482+H482)</f>
        <v>2822</v>
      </c>
      <c r="L482" s="191">
        <f>0.42*K482</f>
        <v>1185.24</v>
      </c>
      <c r="M482" s="391" t="str">
        <f>IF(AND(INPUT!CH11&gt;=0,INPUT!Q11=0),"-",IF(E482&lt;=0.42*K482,"OK","NG"))</f>
        <v>-</v>
      </c>
      <c r="N482" s="4"/>
      <c r="Q482" s="4"/>
      <c r="R482" s="372"/>
      <c r="S482" s="4"/>
    </row>
    <row r="483">
      <c r="A483" s="187">
        <f>A382</f>
        <v>101</v>
      </c>
      <c r="B483" s="175" t="str">
        <f>IF(INPUT!CH12&lt;=0,"Positive","Negative")</f>
        <v>Negative</v>
      </c>
      <c r="C483" s="174" t="str">
        <f>L208</f>
        <v>8</v>
      </c>
      <c r="D483" s="191">
        <f>M208</f>
        <v>1245.273804662846</v>
      </c>
      <c r="E483" s="191">
        <f>IF(OR(C483="1",C483="a"),J483+I483+D483,IF(OR(C483="8",C483="b",C483="c",C483="d"),H483-D483,IF(C483="2",J483+I483-F483+D483,IF(C483=9,F483-D483+H483,D483))))</f>
        <v>1554.726195337154</v>
      </c>
      <c r="F483" s="174">
        <f>INPUT!J12</f>
        <v>22</v>
      </c>
      <c r="G483" s="174">
        <f>INPUT!L12</f>
        <v>12</v>
      </c>
      <c r="H483" s="174">
        <f>INPUT!N12</f>
        <v>2800</v>
      </c>
      <c r="I483" s="174">
        <f>INPUT!S12</f>
        <v>0</v>
      </c>
      <c r="J483" s="174">
        <f>INPUT!R12</f>
        <v>290</v>
      </c>
      <c r="K483" s="191">
        <f>IF(B483="Positive",G483+H483+I483+J483,F483+H483)</f>
        <v>2822</v>
      </c>
      <c r="L483" s="191">
        <f>0.42*K483</f>
        <v>1185.24</v>
      </c>
      <c r="M483" s="391" t="str">
        <f>IF(AND(INPUT!CH12&gt;=0,INPUT!Q12=0),"-",IF(E483&lt;=0.42*K483,"OK","NG"))</f>
        <v>-</v>
      </c>
      <c r="N483" s="4"/>
      <c r="Q483" s="4"/>
      <c r="R483" s="372"/>
      <c r="S483" s="4"/>
    </row>
    <row r="484">
      <c r="A484" s="187">
        <f>A383</f>
        <v>101</v>
      </c>
      <c r="B484" s="175" t="str">
        <f>IF(INPUT!CH13&lt;=0,"Positive","Negative")</f>
        <v>Negative</v>
      </c>
      <c r="C484" s="174" t="str">
        <f>L209</f>
        <v>8</v>
      </c>
      <c r="D484" s="191">
        <f>M209</f>
        <v>1245.273804662846</v>
      </c>
      <c r="E484" s="191">
        <f>IF(OR(C484="1",C484="a"),J484+I484+D484,IF(OR(C484="8",C484="b",C484="c",C484="d"),H484-D484,IF(C484="2",J484+I484-F484+D484,IF(C484=9,F484-D484+H484,D484))))</f>
        <v>1554.726195337154</v>
      </c>
      <c r="F484" s="174">
        <f>INPUT!J13</f>
        <v>22</v>
      </c>
      <c r="G484" s="174">
        <f>INPUT!L13</f>
        <v>12</v>
      </c>
      <c r="H484" s="174">
        <f>INPUT!N13</f>
        <v>2800</v>
      </c>
      <c r="I484" s="174">
        <f>INPUT!S13</f>
        <v>0</v>
      </c>
      <c r="J484" s="174">
        <f>INPUT!R13</f>
        <v>290</v>
      </c>
      <c r="K484" s="191">
        <f>IF(B484="Positive",G484+H484+I484+J484,F484+H484)</f>
        <v>2822</v>
      </c>
      <c r="L484" s="191">
        <f>0.42*K484</f>
        <v>1185.24</v>
      </c>
      <c r="M484" s="391" t="str">
        <f>IF(AND(INPUT!CH13&gt;=0,INPUT!Q13=0),"-",IF(E484&lt;=0.42*K484,"OK","NG"))</f>
        <v>-</v>
      </c>
      <c r="N484" s="4"/>
      <c r="Q484" s="4"/>
      <c r="R484" s="372"/>
      <c r="S484" s="4"/>
    </row>
    <row r="485">
      <c r="A485" s="187">
        <f>A384</f>
        <v>101</v>
      </c>
      <c r="B485" s="175" t="str">
        <f>IF(INPUT!CH14&lt;=0,"Positive","Negative")</f>
        <v>Negative</v>
      </c>
      <c r="C485" s="174" t="str">
        <f>L210</f>
        <v>8</v>
      </c>
      <c r="D485" s="191">
        <f>M210</f>
        <v>1245.273804662846</v>
      </c>
      <c r="E485" s="191">
        <f>IF(OR(C485="1",C485="a"),J485+I485+D485,IF(OR(C485="8",C485="b",C485="c",C485="d"),H485-D485,IF(C485="2",J485+I485-F485+D485,IF(C485=9,F485-D485+H485,D485))))</f>
        <v>1554.726195337154</v>
      </c>
      <c r="F485" s="174">
        <f>INPUT!J14</f>
        <v>22</v>
      </c>
      <c r="G485" s="174">
        <f>INPUT!L14</f>
        <v>12</v>
      </c>
      <c r="H485" s="174">
        <f>INPUT!N14</f>
        <v>2800</v>
      </c>
      <c r="I485" s="174">
        <f>INPUT!S14</f>
        <v>0</v>
      </c>
      <c r="J485" s="174">
        <f>INPUT!R14</f>
        <v>290</v>
      </c>
      <c r="K485" s="191">
        <f>IF(B485="Positive",G485+H485+I485+J485,F485+H485)</f>
        <v>2822</v>
      </c>
      <c r="L485" s="191">
        <f>0.42*K485</f>
        <v>1185.24</v>
      </c>
      <c r="M485" s="391" t="str">
        <f>IF(AND(INPUT!CH14&gt;=0,INPUT!Q14=0),"-",IF(E485&lt;=0.42*K485,"OK","NG"))</f>
        <v>-</v>
      </c>
      <c r="N485" s="4"/>
      <c r="Q485" s="4"/>
      <c r="R485" s="372"/>
      <c r="S485" s="4"/>
    </row>
    <row r="486">
      <c r="A486" s="187">
        <f>A385</f>
        <v>101</v>
      </c>
      <c r="B486" s="175" t="str">
        <f>IF(INPUT!CH15&lt;=0,"Positive","Negative")</f>
        <v>Negative</v>
      </c>
      <c r="C486" s="174" t="str">
        <f>L211</f>
        <v>8</v>
      </c>
      <c r="D486" s="191">
        <f>M211</f>
        <v>1245.273804662846</v>
      </c>
      <c r="E486" s="191">
        <f>IF(OR(C486="1",C486="a"),J486+I486+D486,IF(OR(C486="8",C486="b",C486="c",C486="d"),H486-D486,IF(C486="2",J486+I486-F486+D486,IF(C486=9,F486-D486+H486,D486))))</f>
        <v>1554.726195337154</v>
      </c>
      <c r="F486" s="174">
        <f>INPUT!J15</f>
        <v>22</v>
      </c>
      <c r="G486" s="174">
        <f>INPUT!L15</f>
        <v>12</v>
      </c>
      <c r="H486" s="174">
        <f>INPUT!N15</f>
        <v>2800</v>
      </c>
      <c r="I486" s="174">
        <f>INPUT!S15</f>
        <v>0</v>
      </c>
      <c r="J486" s="174">
        <f>INPUT!R15</f>
        <v>290</v>
      </c>
      <c r="K486" s="191">
        <f>IF(B486="Positive",G486+H486+I486+J486,F486+H486)</f>
        <v>2822</v>
      </c>
      <c r="L486" s="191">
        <f>0.42*K486</f>
        <v>1185.24</v>
      </c>
      <c r="M486" s="391" t="str">
        <f>IF(AND(INPUT!CH15&gt;=0,INPUT!Q15=0),"-",IF(E486&lt;=0.42*K486,"OK","NG"))</f>
        <v>-</v>
      </c>
      <c r="N486" s="4"/>
      <c r="Q486" s="4"/>
      <c r="R486" s="372"/>
      <c r="S486" s="4"/>
    </row>
    <row r="487">
      <c r="A487" s="187">
        <f>A386</f>
        <v>101</v>
      </c>
      <c r="B487" s="175" t="str">
        <f>IF(INPUT!CH16&lt;=0,"Positive","Negative")</f>
        <v>Negative</v>
      </c>
      <c r="C487" s="174" t="str">
        <f>L212</f>
        <v>8</v>
      </c>
      <c r="D487" s="191">
        <f>M212</f>
        <v>1245.273804662846</v>
      </c>
      <c r="E487" s="191">
        <f>IF(OR(C487="1",C487="a"),J487+I487+D487,IF(OR(C487="8",C487="b",C487="c",C487="d"),H487-D487,IF(C487="2",J487+I487-F487+D487,IF(C487=9,F487-D487+H487,D487))))</f>
        <v>1554.726195337154</v>
      </c>
      <c r="F487" s="174">
        <f>INPUT!J16</f>
        <v>22</v>
      </c>
      <c r="G487" s="174">
        <f>INPUT!L16</f>
        <v>12</v>
      </c>
      <c r="H487" s="174">
        <f>INPUT!N16</f>
        <v>2800</v>
      </c>
      <c r="I487" s="174">
        <f>INPUT!S16</f>
        <v>0</v>
      </c>
      <c r="J487" s="174">
        <f>INPUT!R16</f>
        <v>290</v>
      </c>
      <c r="K487" s="191">
        <f>IF(B487="Positive",G487+H487+I487+J487,F487+H487)</f>
        <v>2822</v>
      </c>
      <c r="L487" s="191">
        <f>0.42*K487</f>
        <v>1185.24</v>
      </c>
      <c r="M487" s="391" t="str">
        <f>IF(AND(INPUT!CH16&gt;=0,INPUT!Q16=0),"-",IF(E487&lt;=0.42*K487,"OK","NG"))</f>
        <v>-</v>
      </c>
      <c r="N487" s="4"/>
      <c r="Q487" s="4"/>
      <c r="R487" s="372"/>
      <c r="S487" s="4"/>
    </row>
    <row r="488">
      <c r="A488" s="187">
        <f>A387</f>
        <v>101</v>
      </c>
      <c r="B488" s="175" t="str">
        <f>IF(INPUT!CH17&lt;=0,"Positive","Negative")</f>
        <v>Negative</v>
      </c>
      <c r="C488" s="174" t="str">
        <f>L213</f>
        <v>8</v>
      </c>
      <c r="D488" s="191">
        <f>M213</f>
        <v>1245.273804662846</v>
      </c>
      <c r="E488" s="191">
        <f>IF(OR(C488="1",C488="a"),J488+I488+D488,IF(OR(C488="8",C488="b",C488="c",C488="d"),H488-D488,IF(C488="2",J488+I488-F488+D488,IF(C488=9,F488-D488+H488,D488))))</f>
        <v>1554.726195337154</v>
      </c>
      <c r="F488" s="174">
        <f>INPUT!J17</f>
        <v>22</v>
      </c>
      <c r="G488" s="174">
        <f>INPUT!L17</f>
        <v>12</v>
      </c>
      <c r="H488" s="174">
        <f>INPUT!N17</f>
        <v>2800</v>
      </c>
      <c r="I488" s="174">
        <f>INPUT!S17</f>
        <v>0</v>
      </c>
      <c r="J488" s="174">
        <f>INPUT!R17</f>
        <v>290</v>
      </c>
      <c r="K488" s="191">
        <f>IF(B488="Positive",G488+H488+I488+J488,F488+H488)</f>
        <v>2822</v>
      </c>
      <c r="L488" s="191">
        <f>0.42*K488</f>
        <v>1185.24</v>
      </c>
      <c r="M488" s="391" t="str">
        <f>IF(AND(INPUT!CH17&gt;=0,INPUT!Q17=0),"-",IF(E488&lt;=0.42*K488,"OK","NG"))</f>
        <v>-</v>
      </c>
      <c r="N488" s="4"/>
      <c r="Q488" s="4"/>
      <c r="R488" s="372"/>
      <c r="S488" s="4"/>
    </row>
    <row r="489">
      <c r="A489" s="187">
        <f>A388</f>
        <v>101</v>
      </c>
      <c r="B489" s="175" t="str">
        <f>IF(INPUT!CH18&lt;=0,"Positive","Negative")</f>
        <v>Negative</v>
      </c>
      <c r="C489" s="174" t="str">
        <f>L214</f>
        <v>8</v>
      </c>
      <c r="D489" s="191">
        <f>M214</f>
        <v>1245.273804662846</v>
      </c>
      <c r="E489" s="191">
        <f>IF(OR(C489="1",C489="a"),J489+I489+D489,IF(OR(C489="8",C489="b",C489="c",C489="d"),H489-D489,IF(C489="2",J489+I489-F489+D489,IF(C489=9,F489-D489+H489,D489))))</f>
        <v>1554.726195337154</v>
      </c>
      <c r="F489" s="174">
        <f>INPUT!J18</f>
        <v>22</v>
      </c>
      <c r="G489" s="174">
        <f>INPUT!L18</f>
        <v>12</v>
      </c>
      <c r="H489" s="174">
        <f>INPUT!N18</f>
        <v>2800</v>
      </c>
      <c r="I489" s="174">
        <f>INPUT!S18</f>
        <v>0</v>
      </c>
      <c r="J489" s="174">
        <f>INPUT!R18</f>
        <v>290</v>
      </c>
      <c r="K489" s="191">
        <f>IF(B489="Positive",G489+H489+I489+J489,F489+H489)</f>
        <v>2822</v>
      </c>
      <c r="L489" s="191">
        <f>0.42*K489</f>
        <v>1185.24</v>
      </c>
      <c r="M489" s="391" t="str">
        <f>IF(AND(INPUT!CH18&gt;=0,INPUT!Q18=0),"-",IF(E489&lt;=0.42*K489,"OK","NG"))</f>
        <v>-</v>
      </c>
      <c r="N489" s="4"/>
      <c r="Q489" s="4"/>
      <c r="R489" s="372"/>
      <c r="S489" s="4"/>
    </row>
    <row r="490">
      <c r="A490" s="187">
        <f>A389</f>
        <v>101</v>
      </c>
      <c r="B490" s="175" t="str">
        <f>IF(INPUT!CH19&lt;=0,"Positive","Negative")</f>
        <v>Negative</v>
      </c>
      <c r="C490" s="174" t="str">
        <f>L215</f>
        <v>8</v>
      </c>
      <c r="D490" s="191">
        <f>M215</f>
        <v>1245.273804662846</v>
      </c>
      <c r="E490" s="191">
        <f>IF(OR(C490="1",C490="a"),J490+I490+D490,IF(OR(C490="8",C490="b",C490="c",C490="d"),H490-D490,IF(C490="2",J490+I490-F490+D490,IF(C490=9,F490-D490+H490,D490))))</f>
        <v>1554.726195337154</v>
      </c>
      <c r="F490" s="174">
        <f>INPUT!J19</f>
        <v>22</v>
      </c>
      <c r="G490" s="174">
        <f>INPUT!L19</f>
        <v>12</v>
      </c>
      <c r="H490" s="174">
        <f>INPUT!N19</f>
        <v>2800</v>
      </c>
      <c r="I490" s="174">
        <f>INPUT!S19</f>
        <v>0</v>
      </c>
      <c r="J490" s="174">
        <f>INPUT!R19</f>
        <v>290</v>
      </c>
      <c r="K490" s="191">
        <f>IF(B490="Positive",G490+H490+I490+J490,F490+H490)</f>
        <v>2822</v>
      </c>
      <c r="L490" s="191">
        <f>0.42*K490</f>
        <v>1185.24</v>
      </c>
      <c r="M490" s="391" t="str">
        <f>IF(AND(INPUT!CH19&gt;=0,INPUT!Q19=0),"-",IF(E490&lt;=0.42*K490,"OK","NG"))</f>
        <v>-</v>
      </c>
      <c r="N490" s="4"/>
      <c r="Q490" s="4"/>
      <c r="R490" s="372"/>
      <c r="S490" s="4"/>
    </row>
    <row r="491">
      <c r="A491" s="187">
        <f>A390</f>
        <v>101</v>
      </c>
      <c r="B491" s="175" t="str">
        <f>IF(INPUT!CH20&lt;=0,"Positive","Negative")</f>
        <v>Negative</v>
      </c>
      <c r="C491" s="174" t="str">
        <f>L216</f>
        <v>8</v>
      </c>
      <c r="D491" s="191">
        <f>M216</f>
        <v>1245.273804662846</v>
      </c>
      <c r="E491" s="191">
        <f>IF(OR(C491="1",C491="a"),J491+I491+D491,IF(OR(C491="8",C491="b",C491="c",C491="d"),H491-D491,IF(C491="2",J491+I491-F491+D491,IF(C491=9,F491-D491+H491,D491))))</f>
        <v>1554.726195337154</v>
      </c>
      <c r="F491" s="174">
        <f>INPUT!J20</f>
        <v>22</v>
      </c>
      <c r="G491" s="174">
        <f>INPUT!L20</f>
        <v>12</v>
      </c>
      <c r="H491" s="174">
        <f>INPUT!N20</f>
        <v>2800</v>
      </c>
      <c r="I491" s="174">
        <f>INPUT!S20</f>
        <v>0</v>
      </c>
      <c r="J491" s="174">
        <f>INPUT!R20</f>
        <v>290</v>
      </c>
      <c r="K491" s="191">
        <f>IF(B491="Positive",G491+H491+I491+J491,F491+H491)</f>
        <v>2822</v>
      </c>
      <c r="L491" s="191">
        <f>0.42*K491</f>
        <v>1185.24</v>
      </c>
      <c r="M491" s="391" t="str">
        <f>IF(AND(INPUT!CH20&gt;=0,INPUT!Q20=0),"-",IF(E491&lt;=0.42*K491,"OK","NG"))</f>
        <v>-</v>
      </c>
      <c r="N491" s="4"/>
      <c r="Q491" s="4"/>
      <c r="R491" s="372"/>
      <c r="S491" s="4"/>
    </row>
    <row r="492">
      <c r="A492" s="187">
        <f>A391</f>
        <v>101</v>
      </c>
      <c r="B492" s="175" t="str">
        <f>IF(INPUT!CH21&lt;=0,"Positive","Negative")</f>
        <v>Negative</v>
      </c>
      <c r="C492" s="174" t="str">
        <f>L217</f>
        <v>8</v>
      </c>
      <c r="D492" s="191">
        <f>M217</f>
        <v>1245.273804662846</v>
      </c>
      <c r="E492" s="191">
        <f>IF(OR(C492="1",C492="a"),J492+I492+D492,IF(OR(C492="8",C492="b",C492="c",C492="d"),H492-D492,IF(C492="2",J492+I492-F492+D492,IF(C492=9,F492-D492+H492,D492))))</f>
        <v>1554.726195337154</v>
      </c>
      <c r="F492" s="174">
        <f>INPUT!J21</f>
        <v>22</v>
      </c>
      <c r="G492" s="174">
        <f>INPUT!L21</f>
        <v>12</v>
      </c>
      <c r="H492" s="174">
        <f>INPUT!N21</f>
        <v>2800</v>
      </c>
      <c r="I492" s="174">
        <f>INPUT!S21</f>
        <v>0</v>
      </c>
      <c r="J492" s="174">
        <f>INPUT!R21</f>
        <v>290</v>
      </c>
      <c r="K492" s="191">
        <f>IF(B492="Positive",G492+H492+I492+J492,F492+H492)</f>
        <v>2822</v>
      </c>
      <c r="L492" s="191">
        <f>0.42*K492</f>
        <v>1185.24</v>
      </c>
      <c r="M492" s="391" t="str">
        <f>IF(AND(INPUT!CH21&gt;=0,INPUT!Q21=0),"-",IF(E492&lt;=0.42*K492,"OK","NG"))</f>
        <v>-</v>
      </c>
      <c r="N492" s="4"/>
      <c r="Q492" s="4"/>
      <c r="R492" s="372"/>
      <c r="S492" s="4"/>
    </row>
    <row r="493">
      <c r="A493" s="187">
        <f>A392</f>
        <v>101</v>
      </c>
      <c r="B493" s="175" t="str">
        <f>IF(INPUT!CH22&lt;=0,"Positive","Negative")</f>
        <v>Negative</v>
      </c>
      <c r="C493" s="174" t="str">
        <f>L218</f>
        <v>8</v>
      </c>
      <c r="D493" s="191">
        <f>M218</f>
        <v>1245.273804662846</v>
      </c>
      <c r="E493" s="191">
        <f>IF(OR(C493="1",C493="a"),J493+I493+D493,IF(OR(C493="8",C493="b",C493="c",C493="d"),H493-D493,IF(C493="2",J493+I493-F493+D493,IF(C493=9,F493-D493+H493,D493))))</f>
        <v>1554.726195337154</v>
      </c>
      <c r="F493" s="174">
        <f>INPUT!J22</f>
        <v>22</v>
      </c>
      <c r="G493" s="174">
        <f>INPUT!L22</f>
        <v>12</v>
      </c>
      <c r="H493" s="174">
        <f>INPUT!N22</f>
        <v>2800</v>
      </c>
      <c r="I493" s="174">
        <f>INPUT!S22</f>
        <v>0</v>
      </c>
      <c r="J493" s="174">
        <f>INPUT!R22</f>
        <v>290</v>
      </c>
      <c r="K493" s="191">
        <f>IF(B493="Positive",G493+H493+I493+J493,F493+H493)</f>
        <v>2822</v>
      </c>
      <c r="L493" s="191">
        <f>0.42*K493</f>
        <v>1185.24</v>
      </c>
      <c r="M493" s="391" t="str">
        <f>IF(AND(INPUT!CH22&gt;=0,INPUT!Q22=0),"-",IF(E493&lt;=0.42*K493,"OK","NG"))</f>
        <v>-</v>
      </c>
      <c r="N493" s="4"/>
      <c r="Q493" s="4"/>
      <c r="R493" s="372"/>
      <c r="S493" s="4"/>
    </row>
    <row r="494">
      <c r="A494" s="187">
        <f>A393</f>
        <v>101</v>
      </c>
      <c r="B494" s="175" t="str">
        <f>IF(INPUT!CH23&lt;=0,"Positive","Negative")</f>
        <v>Negative</v>
      </c>
      <c r="C494" s="174" t="str">
        <f>L219</f>
        <v>8</v>
      </c>
      <c r="D494" s="191">
        <f>M219</f>
        <v>1245.273804662846</v>
      </c>
      <c r="E494" s="191">
        <f>IF(OR(C494="1",C494="a"),J494+I494+D494,IF(OR(C494="8",C494="b",C494="c",C494="d"),H494-D494,IF(C494="2",J494+I494-F494+D494,IF(C494=9,F494-D494+H494,D494))))</f>
        <v>1554.726195337154</v>
      </c>
      <c r="F494" s="174">
        <f>INPUT!J23</f>
        <v>22</v>
      </c>
      <c r="G494" s="174">
        <f>INPUT!L23</f>
        <v>12</v>
      </c>
      <c r="H494" s="174">
        <f>INPUT!N23</f>
        <v>2800</v>
      </c>
      <c r="I494" s="174">
        <f>INPUT!S23</f>
        <v>0</v>
      </c>
      <c r="J494" s="174">
        <f>INPUT!R23</f>
        <v>290</v>
      </c>
      <c r="K494" s="191">
        <f>IF(B494="Positive",G494+H494+I494+J494,F494+H494)</f>
        <v>2822</v>
      </c>
      <c r="L494" s="191">
        <f>0.42*K494</f>
        <v>1185.24</v>
      </c>
      <c r="M494" s="391" t="str">
        <f>IF(AND(INPUT!CH23&gt;=0,INPUT!Q23=0),"-",IF(E494&lt;=0.42*K494,"OK","NG"))</f>
        <v>-</v>
      </c>
      <c r="N494" s="4"/>
      <c r="Q494" s="4"/>
      <c r="R494" s="372"/>
      <c r="S494" s="4"/>
    </row>
    <row r="495">
      <c r="A495" s="187">
        <f>A394</f>
        <v>101</v>
      </c>
      <c r="B495" s="175" t="str">
        <f>IF(INPUT!CH24&lt;=0,"Positive","Negative")</f>
        <v>Negative</v>
      </c>
      <c r="C495" s="174" t="str">
        <f>L220</f>
        <v>8</v>
      </c>
      <c r="D495" s="191">
        <f>M220</f>
        <v>1245.273804662846</v>
      </c>
      <c r="E495" s="191">
        <f>IF(OR(C495="1",C495="a"),J495+I495+D495,IF(OR(C495="8",C495="b",C495="c",C495="d"),H495-D495,IF(C495="2",J495+I495-F495+D495,IF(C495=9,F495-D495+H495,D495))))</f>
        <v>1554.726195337154</v>
      </c>
      <c r="F495" s="174">
        <f>INPUT!J24</f>
        <v>22</v>
      </c>
      <c r="G495" s="174">
        <f>INPUT!L24</f>
        <v>12</v>
      </c>
      <c r="H495" s="174">
        <f>INPUT!N24</f>
        <v>2800</v>
      </c>
      <c r="I495" s="174">
        <f>INPUT!S24</f>
        <v>0</v>
      </c>
      <c r="J495" s="174">
        <f>INPUT!R24</f>
        <v>290</v>
      </c>
      <c r="K495" s="191">
        <f>IF(B495="Positive",G495+H495+I495+J495,F495+H495)</f>
        <v>2822</v>
      </c>
      <c r="L495" s="191">
        <f>0.42*K495</f>
        <v>1185.24</v>
      </c>
      <c r="M495" s="391" t="str">
        <f>IF(AND(INPUT!CH24&gt;=0,INPUT!Q24=0),"-",IF(E495&lt;=0.42*K495,"OK","NG"))</f>
        <v>-</v>
      </c>
      <c r="N495" s="4"/>
      <c r="Q495" s="4"/>
      <c r="R495" s="372"/>
      <c r="S495" s="4"/>
    </row>
    <row r="496">
      <c r="A496" s="187">
        <f>A395</f>
        <v>101</v>
      </c>
      <c r="B496" s="175" t="str">
        <f>IF(INPUT!CH25&lt;=0,"Positive","Negative")</f>
        <v>Negative</v>
      </c>
      <c r="C496" s="174" t="str">
        <f>L221</f>
        <v>8</v>
      </c>
      <c r="D496" s="191">
        <f>M221</f>
        <v>1245.273804662846</v>
      </c>
      <c r="E496" s="191">
        <f>IF(OR(C496="1",C496="a"),J496+I496+D496,IF(OR(C496="8",C496="b",C496="c",C496="d"),H496-D496,IF(C496="2",J496+I496-F496+D496,IF(C496=9,F496-D496+H496,D496))))</f>
        <v>1554.726195337154</v>
      </c>
      <c r="F496" s="174">
        <f>INPUT!J25</f>
        <v>22</v>
      </c>
      <c r="G496" s="174">
        <f>INPUT!L25</f>
        <v>12</v>
      </c>
      <c r="H496" s="174">
        <f>INPUT!N25</f>
        <v>2800</v>
      </c>
      <c r="I496" s="174">
        <f>INPUT!S25</f>
        <v>0</v>
      </c>
      <c r="J496" s="174">
        <f>INPUT!R25</f>
        <v>290</v>
      </c>
      <c r="K496" s="191">
        <f>IF(B496="Positive",G496+H496+I496+J496,F496+H496)</f>
        <v>2822</v>
      </c>
      <c r="L496" s="191">
        <f>0.42*K496</f>
        <v>1185.24</v>
      </c>
      <c r="M496" s="391" t="str">
        <f>IF(AND(INPUT!CH25&gt;=0,INPUT!Q25=0),"-",IF(E496&lt;=0.42*K496,"OK","NG"))</f>
        <v>-</v>
      </c>
      <c r="N496" s="4"/>
      <c r="Q496" s="4"/>
      <c r="R496" s="372"/>
      <c r="S496" s="4"/>
    </row>
    <row r="497">
      <c r="A497" s="187">
        <f>A396</f>
        <v>101</v>
      </c>
      <c r="B497" s="175" t="str">
        <f>IF(INPUT!CH26&lt;=0,"Positive","Negative")</f>
        <v>Negative</v>
      </c>
      <c r="C497" s="174" t="str">
        <f>L222</f>
        <v>8</v>
      </c>
      <c r="D497" s="191">
        <f>M222</f>
        <v>1245.273804662846</v>
      </c>
      <c r="E497" s="191">
        <f>IF(OR(C497="1",C497="a"),J497+I497+D497,IF(OR(C497="8",C497="b",C497="c",C497="d"),H497-D497,IF(C497="2",J497+I497-F497+D497,IF(C497=9,F497-D497+H497,D497))))</f>
        <v>1554.726195337154</v>
      </c>
      <c r="F497" s="174">
        <f>INPUT!J26</f>
        <v>22</v>
      </c>
      <c r="G497" s="174">
        <f>INPUT!L26</f>
        <v>12</v>
      </c>
      <c r="H497" s="174">
        <f>INPUT!N26</f>
        <v>2800</v>
      </c>
      <c r="I497" s="174">
        <f>INPUT!S26</f>
        <v>0</v>
      </c>
      <c r="J497" s="174">
        <f>INPUT!R26</f>
        <v>290</v>
      </c>
      <c r="K497" s="191">
        <f>IF(B497="Positive",G497+H497+I497+J497,F497+H497)</f>
        <v>2822</v>
      </c>
      <c r="L497" s="191">
        <f>0.42*K497</f>
        <v>1185.24</v>
      </c>
      <c r="M497" s="391" t="str">
        <f>IF(AND(INPUT!CH26&gt;=0,INPUT!Q26=0),"-",IF(E497&lt;=0.42*K497,"OK","NG"))</f>
        <v>-</v>
      </c>
      <c r="N497" s="4"/>
      <c r="Q497" s="4"/>
      <c r="R497" s="372"/>
      <c r="S497" s="4"/>
    </row>
    <row r="498">
      <c r="A498" s="187">
        <f>A397</f>
        <v>101</v>
      </c>
      <c r="B498" s="175" t="str">
        <f>IF(INPUT!CH27&lt;=0,"Positive","Negative")</f>
        <v>Negative</v>
      </c>
      <c r="C498" s="174" t="str">
        <f>L223</f>
        <v>8</v>
      </c>
      <c r="D498" s="191">
        <f>M223</f>
        <v>1245.273804662846</v>
      </c>
      <c r="E498" s="191">
        <f>IF(OR(C498="1",C498="a"),J498+I498+D498,IF(OR(C498="8",C498="b",C498="c",C498="d"),H498-D498,IF(C498="2",J498+I498-F498+D498,IF(C498=9,F498-D498+H498,D498))))</f>
        <v>1554.726195337154</v>
      </c>
      <c r="F498" s="174">
        <f>INPUT!J27</f>
        <v>22</v>
      </c>
      <c r="G498" s="174">
        <f>INPUT!L27</f>
        <v>12</v>
      </c>
      <c r="H498" s="174">
        <f>INPUT!N27</f>
        <v>2800</v>
      </c>
      <c r="I498" s="174">
        <f>INPUT!S27</f>
        <v>0</v>
      </c>
      <c r="J498" s="174">
        <f>INPUT!R27</f>
        <v>290</v>
      </c>
      <c r="K498" s="191">
        <f>IF(B498="Positive",G498+H498+I498+J498,F498+H498)</f>
        <v>2822</v>
      </c>
      <c r="L498" s="191">
        <f>0.42*K498</f>
        <v>1185.24</v>
      </c>
      <c r="M498" s="391" t="str">
        <f>IF(AND(INPUT!CH27&gt;=0,INPUT!Q27=0),"-",IF(E498&lt;=0.42*K498,"OK","NG"))</f>
        <v>-</v>
      </c>
      <c r="N498" s="4"/>
      <c r="Q498" s="4"/>
      <c r="R498" s="372"/>
      <c r="S498" s="4"/>
    </row>
    <row r="499">
      <c r="A499" s="187">
        <f>A398</f>
        <v>101</v>
      </c>
      <c r="B499" s="175" t="str">
        <f>IF(INPUT!CH28&lt;=0,"Positive","Negative")</f>
        <v>Negative</v>
      </c>
      <c r="C499" s="174" t="str">
        <f>L224</f>
        <v>8</v>
      </c>
      <c r="D499" s="191">
        <f>M224</f>
        <v>1245.273804662846</v>
      </c>
      <c r="E499" s="191">
        <f>IF(OR(C499="1",C499="a"),J499+I499+D499,IF(OR(C499="8",C499="b",C499="c",C499="d"),H499-D499,IF(C499="2",J499+I499-F499+D499,IF(C499=9,F499-D499+H499,D499))))</f>
        <v>1554.726195337154</v>
      </c>
      <c r="F499" s="174">
        <f>INPUT!J28</f>
        <v>22</v>
      </c>
      <c r="G499" s="174">
        <f>INPUT!L28</f>
        <v>12</v>
      </c>
      <c r="H499" s="174">
        <f>INPUT!N28</f>
        <v>2800</v>
      </c>
      <c r="I499" s="174">
        <f>INPUT!S28</f>
        <v>0</v>
      </c>
      <c r="J499" s="174">
        <f>INPUT!R28</f>
        <v>290</v>
      </c>
      <c r="K499" s="191">
        <f>IF(B499="Positive",G499+H499+I499+J499,F499+H499)</f>
        <v>2822</v>
      </c>
      <c r="L499" s="191">
        <f>0.42*K499</f>
        <v>1185.24</v>
      </c>
      <c r="M499" s="391" t="str">
        <f>IF(AND(INPUT!CH28&gt;=0,INPUT!Q28=0),"-",IF(E499&lt;=0.42*K499,"OK","NG"))</f>
        <v>-</v>
      </c>
      <c r="N499" s="4"/>
      <c r="Q499" s="4"/>
      <c r="R499" s="372"/>
      <c r="S499" s="4"/>
    </row>
    <row r="500">
      <c r="A500" s="187">
        <f>A399</f>
        <v>101</v>
      </c>
      <c r="B500" s="175" t="str">
        <f>IF(INPUT!CH29&lt;=0,"Positive","Negative")</f>
        <v>Negative</v>
      </c>
      <c r="C500" s="174" t="str">
        <f>L225</f>
        <v>8</v>
      </c>
      <c r="D500" s="191">
        <f>M225</f>
        <v>1245.273804662846</v>
      </c>
      <c r="E500" s="191">
        <f>IF(OR(C500="1",C500="a"),J500+I500+D500,IF(OR(C500="8",C500="b",C500="c",C500="d"),H500-D500,IF(C500="2",J500+I500-F500+D500,IF(C500=9,F500-D500+H500,D500))))</f>
        <v>1554.726195337154</v>
      </c>
      <c r="F500" s="174">
        <f>INPUT!J29</f>
        <v>22</v>
      </c>
      <c r="G500" s="174">
        <f>INPUT!L29</f>
        <v>12</v>
      </c>
      <c r="H500" s="174">
        <f>INPUT!N29</f>
        <v>2800</v>
      </c>
      <c r="I500" s="174">
        <f>INPUT!S29</f>
        <v>0</v>
      </c>
      <c r="J500" s="174">
        <f>INPUT!R29</f>
        <v>290</v>
      </c>
      <c r="K500" s="191">
        <f>IF(B500="Positive",G500+H500+I500+J500,F500+H500)</f>
        <v>2822</v>
      </c>
      <c r="L500" s="191">
        <f>0.42*K500</f>
        <v>1185.24</v>
      </c>
      <c r="M500" s="391" t="str">
        <f>IF(AND(INPUT!CH29&gt;=0,INPUT!Q29=0),"-",IF(E500&lt;=0.42*K500,"OK","NG"))</f>
        <v>-</v>
      </c>
      <c r="N500" s="4"/>
      <c r="Q500" s="4"/>
      <c r="R500" s="372"/>
      <c r="S500" s="4"/>
    </row>
    <row r="501">
      <c r="A501" s="187">
        <f>A400</f>
        <v>101</v>
      </c>
      <c r="B501" s="175" t="str">
        <f>IF(INPUT!CH30&lt;=0,"Positive","Negative")</f>
        <v>Negative</v>
      </c>
      <c r="C501" s="174" t="str">
        <f>L226</f>
        <v>8</v>
      </c>
      <c r="D501" s="191">
        <f>M226</f>
        <v>1245.273804662846</v>
      </c>
      <c r="E501" s="191">
        <f>IF(OR(C501="1",C501="a"),J501+I501+D501,IF(OR(C501="8",C501="b",C501="c",C501="d"),H501-D501,IF(C501="2",J501+I501-F501+D501,IF(C501=9,F501-D501+H501,D501))))</f>
        <v>1554.726195337154</v>
      </c>
      <c r="F501" s="174">
        <f>INPUT!J30</f>
        <v>22</v>
      </c>
      <c r="G501" s="174">
        <f>INPUT!L30</f>
        <v>12</v>
      </c>
      <c r="H501" s="174">
        <f>INPUT!N30</f>
        <v>2800</v>
      </c>
      <c r="I501" s="174">
        <f>INPUT!S30</f>
        <v>0</v>
      </c>
      <c r="J501" s="174">
        <f>INPUT!R30</f>
        <v>290</v>
      </c>
      <c r="K501" s="191">
        <f>IF(B501="Positive",G501+H501+I501+J501,F501+H501)</f>
        <v>2822</v>
      </c>
      <c r="L501" s="191">
        <f>0.42*K501</f>
        <v>1185.24</v>
      </c>
      <c r="M501" s="391" t="str">
        <f>IF(AND(INPUT!CH30&gt;=0,INPUT!Q30=0),"-",IF(E501&lt;=0.42*K501,"OK","NG"))</f>
        <v>-</v>
      </c>
      <c r="N501" s="4"/>
      <c r="Q501" s="4"/>
      <c r="R501" s="372"/>
      <c r="S501" s="4"/>
    </row>
    <row r="502">
      <c r="A502" s="187">
        <f>A401</f>
        <v>101</v>
      </c>
      <c r="B502" s="175" t="str">
        <f>IF(INPUT!CH31&lt;=0,"Positive","Negative")</f>
        <v>Negative</v>
      </c>
      <c r="C502" s="174" t="str">
        <f>L227</f>
        <v>8</v>
      </c>
      <c r="D502" s="191">
        <f>M227</f>
        <v>1245.273804662846</v>
      </c>
      <c r="E502" s="191">
        <f>IF(OR(C502="1",C502="a"),J502+I502+D502,IF(OR(C502="8",C502="b",C502="c",C502="d"),H502-D502,IF(C502="2",J502+I502-F502+D502,IF(C502=9,F502-D502+H502,D502))))</f>
        <v>1554.726195337154</v>
      </c>
      <c r="F502" s="174">
        <f>INPUT!J31</f>
        <v>22</v>
      </c>
      <c r="G502" s="174">
        <f>INPUT!L31</f>
        <v>12</v>
      </c>
      <c r="H502" s="174">
        <f>INPUT!N31</f>
        <v>2800</v>
      </c>
      <c r="I502" s="174">
        <f>INPUT!S31</f>
        <v>0</v>
      </c>
      <c r="J502" s="174">
        <f>INPUT!R31</f>
        <v>290</v>
      </c>
      <c r="K502" s="191">
        <f>IF(B502="Positive",G502+H502+I502+J502,F502+H502)</f>
        <v>2822</v>
      </c>
      <c r="L502" s="191">
        <f>0.42*K502</f>
        <v>1185.24</v>
      </c>
      <c r="M502" s="391" t="str">
        <f>IF(AND(INPUT!CH31&gt;=0,INPUT!Q31=0),"-",IF(E502&lt;=0.42*K502,"OK","NG"))</f>
        <v>-</v>
      </c>
      <c r="N502" s="4"/>
      <c r="Q502" s="4"/>
      <c r="R502" s="372"/>
      <c r="S502" s="4"/>
    </row>
    <row r="503">
      <c r="A503" s="187">
        <f>A402</f>
        <v>101</v>
      </c>
      <c r="B503" s="175" t="str">
        <f>IF(INPUT!CH32&lt;=0,"Positive","Negative")</f>
        <v>Negative</v>
      </c>
      <c r="C503" s="174" t="str">
        <f>L228</f>
        <v>8</v>
      </c>
      <c r="D503" s="191">
        <f>M228</f>
        <v>1245.273804662846</v>
      </c>
      <c r="E503" s="191">
        <f>IF(OR(C503="1",C503="a"),J503+I503+D503,IF(OR(C503="8",C503="b",C503="c",C503="d"),H503-D503,IF(C503="2",J503+I503-F503+D503,IF(C503=9,F503-D503+H503,D503))))</f>
        <v>1554.726195337154</v>
      </c>
      <c r="F503" s="174">
        <f>INPUT!J32</f>
        <v>22</v>
      </c>
      <c r="G503" s="174">
        <f>INPUT!L32</f>
        <v>12</v>
      </c>
      <c r="H503" s="174">
        <f>INPUT!N32</f>
        <v>2800</v>
      </c>
      <c r="I503" s="174">
        <f>INPUT!S32</f>
        <v>0</v>
      </c>
      <c r="J503" s="174">
        <f>INPUT!R32</f>
        <v>290</v>
      </c>
      <c r="K503" s="191">
        <f>IF(B503="Positive",G503+H503+I503+J503,F503+H503)</f>
        <v>2822</v>
      </c>
      <c r="L503" s="191">
        <f>0.42*K503</f>
        <v>1185.24</v>
      </c>
      <c r="M503" s="391" t="str">
        <f>IF(AND(INPUT!CH32&gt;=0,INPUT!Q32=0),"-",IF(E503&lt;=0.42*K503,"OK","NG"))</f>
        <v>-</v>
      </c>
      <c r="N503" s="4"/>
      <c r="Q503" s="4"/>
      <c r="R503" s="372"/>
      <c r="S503" s="4"/>
    </row>
    <row r="504">
      <c r="A504" s="187">
        <f>A403</f>
        <v>101</v>
      </c>
      <c r="B504" s="175" t="str">
        <f>IF(INPUT!CH33&lt;=0,"Positive","Negative")</f>
        <v>Negative</v>
      </c>
      <c r="C504" s="174" t="str">
        <f>L229</f>
        <v>8</v>
      </c>
      <c r="D504" s="191">
        <f>M229</f>
        <v>1245.273804662846</v>
      </c>
      <c r="E504" s="191">
        <f>IF(OR(C504="1",C504="a"),J504+I504+D504,IF(OR(C504="8",C504="b",C504="c",C504="d"),H504-D504,IF(C504="2",J504+I504-F504+D504,IF(C504=9,F504-D504+H504,D504))))</f>
        <v>1554.726195337154</v>
      </c>
      <c r="F504" s="174">
        <f>INPUT!J33</f>
        <v>22</v>
      </c>
      <c r="G504" s="174">
        <f>INPUT!L33</f>
        <v>12</v>
      </c>
      <c r="H504" s="174">
        <f>INPUT!N33</f>
        <v>2800</v>
      </c>
      <c r="I504" s="174">
        <f>INPUT!S33</f>
        <v>0</v>
      </c>
      <c r="J504" s="174">
        <f>INPUT!R33</f>
        <v>290</v>
      </c>
      <c r="K504" s="191">
        <f>IF(B504="Positive",G504+H504+I504+J504,F504+H504)</f>
        <v>2822</v>
      </c>
      <c r="L504" s="191">
        <f>0.42*K504</f>
        <v>1185.24</v>
      </c>
      <c r="M504" s="391" t="str">
        <f>IF(AND(INPUT!CH33&gt;=0,INPUT!Q33=0),"-",IF(E504&lt;=0.42*K504,"OK","NG"))</f>
        <v>-</v>
      </c>
      <c r="N504" s="4"/>
      <c r="Q504" s="4"/>
      <c r="R504" s="372"/>
      <c r="S504" s="4"/>
    </row>
    <row r="505">
      <c r="A505" s="187">
        <f>A404</f>
        <v>101</v>
      </c>
      <c r="B505" s="175" t="str">
        <f>IF(INPUT!CH34&lt;=0,"Positive","Negative")</f>
        <v>Negative</v>
      </c>
      <c r="C505" s="174" t="str">
        <f>L230</f>
        <v>8</v>
      </c>
      <c r="D505" s="191">
        <f>M230</f>
        <v>1245.273804662846</v>
      </c>
      <c r="E505" s="191">
        <f>IF(OR(C505="1",C505="a"),J505+I505+D505,IF(OR(C505="8",C505="b",C505="c",C505="d"),H505-D505,IF(C505="2",J505+I505-F505+D505,IF(C505=9,F505-D505+H505,D505))))</f>
        <v>1554.726195337154</v>
      </c>
      <c r="F505" s="174">
        <f>INPUT!J34</f>
        <v>22</v>
      </c>
      <c r="G505" s="174">
        <f>INPUT!L34</f>
        <v>12</v>
      </c>
      <c r="H505" s="174">
        <f>INPUT!N34</f>
        <v>2800</v>
      </c>
      <c r="I505" s="174">
        <f>INPUT!S34</f>
        <v>0</v>
      </c>
      <c r="J505" s="174">
        <f>INPUT!R34</f>
        <v>290</v>
      </c>
      <c r="K505" s="191">
        <f>IF(B505="Positive",G505+H505+I505+J505,F505+H505)</f>
        <v>2822</v>
      </c>
      <c r="L505" s="191">
        <f>0.42*K505</f>
        <v>1185.24</v>
      </c>
      <c r="M505" s="391" t="str">
        <f>IF(AND(INPUT!CH34&gt;=0,INPUT!Q34=0),"-",IF(E505&lt;=0.42*K505,"OK","NG"))</f>
        <v>-</v>
      </c>
      <c r="N505" s="4"/>
      <c r="Q505" s="4"/>
      <c r="R505" s="372"/>
      <c r="S505" s="4"/>
    </row>
    <row r="506">
      <c r="A506" s="187">
        <f>A405</f>
        <v>101</v>
      </c>
      <c r="B506" s="175" t="str">
        <f>IF(INPUT!CH35&lt;=0,"Positive","Negative")</f>
        <v>Negative</v>
      </c>
      <c r="C506" s="174" t="str">
        <f>L231</f>
        <v>8</v>
      </c>
      <c r="D506" s="191">
        <f>M231</f>
        <v>1245.273804662846</v>
      </c>
      <c r="E506" s="191">
        <f>IF(OR(C506="1",C506="a"),J506+I506+D506,IF(OR(C506="8",C506="b",C506="c",C506="d"),H506-D506,IF(C506="2",J506+I506-F506+D506,IF(C506=9,F506-D506+H506,D506))))</f>
        <v>1554.726195337154</v>
      </c>
      <c r="F506" s="174">
        <f>INPUT!J35</f>
        <v>22</v>
      </c>
      <c r="G506" s="174">
        <f>INPUT!L35</f>
        <v>12</v>
      </c>
      <c r="H506" s="174">
        <f>INPUT!N35</f>
        <v>2800</v>
      </c>
      <c r="I506" s="174">
        <f>INPUT!S35</f>
        <v>0</v>
      </c>
      <c r="J506" s="174">
        <f>INPUT!R35</f>
        <v>290</v>
      </c>
      <c r="K506" s="191">
        <f>IF(B506="Positive",G506+H506+I506+J506,F506+H506)</f>
        <v>2822</v>
      </c>
      <c r="L506" s="191">
        <f>0.42*K506</f>
        <v>1185.24</v>
      </c>
      <c r="M506" s="391" t="str">
        <f>IF(AND(INPUT!CH35&gt;=0,INPUT!Q35=0),"-",IF(E506&lt;=0.42*K506,"OK","NG"))</f>
        <v>-</v>
      </c>
      <c r="N506" s="4"/>
      <c r="Q506" s="4"/>
      <c r="R506" s="372"/>
      <c r="S506" s="4"/>
    </row>
    <row r="507">
      <c r="A507" s="187">
        <f>A406</f>
        <v>101</v>
      </c>
      <c r="B507" s="175" t="str">
        <f>IF(INPUT!CH36&lt;=0,"Positive","Negative")</f>
        <v>Negative</v>
      </c>
      <c r="C507" s="174" t="str">
        <f>L232</f>
        <v>8</v>
      </c>
      <c r="D507" s="191">
        <f>M232</f>
        <v>1245.273804662846</v>
      </c>
      <c r="E507" s="191">
        <f>IF(OR(C507="1",C507="a"),J507+I507+D507,IF(OR(C507="8",C507="b",C507="c",C507="d"),H507-D507,IF(C507="2",J507+I507-F507+D507,IF(C507=9,F507-D507+H507,D507))))</f>
        <v>1554.726195337154</v>
      </c>
      <c r="F507" s="174">
        <f>INPUT!J36</f>
        <v>22</v>
      </c>
      <c r="G507" s="174">
        <f>INPUT!L36</f>
        <v>12</v>
      </c>
      <c r="H507" s="174">
        <f>INPUT!N36</f>
        <v>2800</v>
      </c>
      <c r="I507" s="174">
        <f>INPUT!S36</f>
        <v>0</v>
      </c>
      <c r="J507" s="174">
        <f>INPUT!R36</f>
        <v>290</v>
      </c>
      <c r="K507" s="191">
        <f>IF(B507="Positive",G507+H507+I507+J507,F507+H507)</f>
        <v>2822</v>
      </c>
      <c r="L507" s="191">
        <f>0.42*K507</f>
        <v>1185.24</v>
      </c>
      <c r="M507" s="391" t="str">
        <f>IF(AND(INPUT!CH36&gt;=0,INPUT!Q36=0),"-",IF(E507&lt;=0.42*K507,"OK","NG"))</f>
        <v>-</v>
      </c>
      <c r="N507" s="4"/>
      <c r="Q507" s="4"/>
      <c r="R507" s="372"/>
      <c r="S507" s="4"/>
    </row>
    <row r="508">
      <c r="A508" s="187">
        <f>A407</f>
        <v>101</v>
      </c>
      <c r="B508" s="175" t="str">
        <f>IF(INPUT!CH37&lt;=0,"Positive","Negative")</f>
        <v>Negative</v>
      </c>
      <c r="C508" s="174" t="str">
        <f>L233</f>
        <v>8</v>
      </c>
      <c r="D508" s="191">
        <f>M233</f>
        <v>1245.273804662846</v>
      </c>
      <c r="E508" s="191">
        <f>IF(OR(C508="1",C508="a"),J508+I508+D508,IF(OR(C508="8",C508="b",C508="c",C508="d"),H508-D508,IF(C508="2",J508+I508-F508+D508,IF(C508=9,F508-D508+H508,D508))))</f>
        <v>1554.726195337154</v>
      </c>
      <c r="F508" s="174">
        <f>INPUT!J37</f>
        <v>22</v>
      </c>
      <c r="G508" s="174">
        <f>INPUT!L37</f>
        <v>12</v>
      </c>
      <c r="H508" s="174">
        <f>INPUT!N37</f>
        <v>2800</v>
      </c>
      <c r="I508" s="174">
        <f>INPUT!S37</f>
        <v>0</v>
      </c>
      <c r="J508" s="174">
        <f>INPUT!R37</f>
        <v>290</v>
      </c>
      <c r="K508" s="191">
        <f>IF(B508="Positive",G508+H508+I508+J508,F508+H508)</f>
        <v>2822</v>
      </c>
      <c r="L508" s="191">
        <f>0.42*K508</f>
        <v>1185.24</v>
      </c>
      <c r="M508" s="391" t="str">
        <f>IF(AND(INPUT!CH37&gt;=0,INPUT!Q37=0),"-",IF(E508&lt;=0.42*K508,"OK","NG"))</f>
        <v>-</v>
      </c>
      <c r="N508" s="4"/>
      <c r="Q508" s="4"/>
      <c r="R508" s="372"/>
      <c r="S508" s="4"/>
    </row>
    <row r="509">
      <c r="A509" s="187">
        <f>A408</f>
        <v>101</v>
      </c>
      <c r="B509" s="175" t="str">
        <f>IF(INPUT!CH38&lt;=0,"Positive","Negative")</f>
        <v>Negative</v>
      </c>
      <c r="C509" s="174" t="str">
        <f>L234</f>
        <v>8</v>
      </c>
      <c r="D509" s="191">
        <f>M234</f>
        <v>1245.273804662846</v>
      </c>
      <c r="E509" s="191">
        <f>IF(OR(C509="1",C509="a"),J509+I509+D509,IF(OR(C509="8",C509="b",C509="c",C509="d"),H509-D509,IF(C509="2",J509+I509-F509+D509,IF(C509=9,F509-D509+H509,D509))))</f>
        <v>1554.726195337154</v>
      </c>
      <c r="F509" s="174">
        <f>INPUT!J38</f>
        <v>22</v>
      </c>
      <c r="G509" s="174">
        <f>INPUT!L38</f>
        <v>12</v>
      </c>
      <c r="H509" s="174">
        <f>INPUT!N38</f>
        <v>2800</v>
      </c>
      <c r="I509" s="174">
        <f>INPUT!S38</f>
        <v>0</v>
      </c>
      <c r="J509" s="174">
        <f>INPUT!R38</f>
        <v>290</v>
      </c>
      <c r="K509" s="191">
        <f>IF(B509="Positive",G509+H509+I509+J509,F509+H509)</f>
        <v>2822</v>
      </c>
      <c r="L509" s="191">
        <f>0.42*K509</f>
        <v>1185.24</v>
      </c>
      <c r="M509" s="391" t="str">
        <f>IF(AND(INPUT!CH38&gt;=0,INPUT!Q38=0),"-",IF(E509&lt;=0.42*K509,"OK","NG"))</f>
        <v>-</v>
      </c>
      <c r="N509" s="4"/>
      <c r="Q509" s="4"/>
      <c r="R509" s="372"/>
      <c r="S509" s="4"/>
    </row>
    <row r="510">
      <c r="A510" s="187">
        <f>A409</f>
        <v>101</v>
      </c>
      <c r="B510" s="175" t="str">
        <f>IF(INPUT!CH39&lt;=0,"Positive","Negative")</f>
        <v>Negative</v>
      </c>
      <c r="C510" s="174" t="str">
        <f>L235</f>
        <v>8</v>
      </c>
      <c r="D510" s="191">
        <f>M235</f>
        <v>1245.273804662846</v>
      </c>
      <c r="E510" s="191">
        <f>IF(OR(C510="1",C510="a"),J510+I510+D510,IF(OR(C510="8",C510="b",C510="c",C510="d"),H510-D510,IF(C510="2",J510+I510-F510+D510,IF(C510=9,F510-D510+H510,D510))))</f>
        <v>1554.726195337154</v>
      </c>
      <c r="F510" s="174">
        <f>INPUT!J39</f>
        <v>22</v>
      </c>
      <c r="G510" s="174">
        <f>INPUT!L39</f>
        <v>12</v>
      </c>
      <c r="H510" s="174">
        <f>INPUT!N39</f>
        <v>2800</v>
      </c>
      <c r="I510" s="174">
        <f>INPUT!S39</f>
        <v>0</v>
      </c>
      <c r="J510" s="174">
        <f>INPUT!R39</f>
        <v>290</v>
      </c>
      <c r="K510" s="191">
        <f>IF(B510="Positive",G510+H510+I510+J510,F510+H510)</f>
        <v>2822</v>
      </c>
      <c r="L510" s="191">
        <f>0.42*K510</f>
        <v>1185.24</v>
      </c>
      <c r="M510" s="391" t="str">
        <f>IF(AND(INPUT!CH39&gt;=0,INPUT!Q39=0),"-",IF(E510&lt;=0.42*K510,"OK","NG"))</f>
        <v>-</v>
      </c>
      <c r="N510" s="4"/>
      <c r="Q510" s="4"/>
      <c r="R510" s="372"/>
      <c r="S510" s="4"/>
    </row>
    <row r="511">
      <c r="A511" s="187">
        <f>A410</f>
        <v>101</v>
      </c>
      <c r="B511" s="175" t="str">
        <f>IF(INPUT!CH40&lt;=0,"Positive","Negative")</f>
        <v>Negative</v>
      </c>
      <c r="C511" s="174" t="str">
        <f>L236</f>
        <v>8</v>
      </c>
      <c r="D511" s="191">
        <f>M236</f>
        <v>1245.273804662846</v>
      </c>
      <c r="E511" s="191">
        <f>IF(OR(C511="1",C511="a"),J511+I511+D511,IF(OR(C511="8",C511="b",C511="c",C511="d"),H511-D511,IF(C511="2",J511+I511-F511+D511,IF(C511=9,F511-D511+H511,D511))))</f>
        <v>1554.726195337154</v>
      </c>
      <c r="F511" s="174">
        <f>INPUT!J40</f>
        <v>22</v>
      </c>
      <c r="G511" s="174">
        <f>INPUT!L40</f>
        <v>12</v>
      </c>
      <c r="H511" s="174">
        <f>INPUT!N40</f>
        <v>2800</v>
      </c>
      <c r="I511" s="174">
        <f>INPUT!S40</f>
        <v>0</v>
      </c>
      <c r="J511" s="174">
        <f>INPUT!R40</f>
        <v>290</v>
      </c>
      <c r="K511" s="191">
        <f>IF(B511="Positive",G511+H511+I511+J511,F511+H511)</f>
        <v>2822</v>
      </c>
      <c r="L511" s="191">
        <f>0.42*K511</f>
        <v>1185.24</v>
      </c>
      <c r="M511" s="391" t="str">
        <f>IF(AND(INPUT!CH40&gt;=0,INPUT!Q40=0),"-",IF(E511&lt;=0.42*K511,"OK","NG"))</f>
        <v>-</v>
      </c>
      <c r="N511" s="4"/>
      <c r="Q511" s="4"/>
      <c r="R511" s="372"/>
      <c r="S511" s="4"/>
    </row>
    <row r="512">
      <c r="A512" s="187">
        <f>A411</f>
        <v>101</v>
      </c>
      <c r="B512" s="175" t="str">
        <f>IF(INPUT!CH41&lt;=0,"Positive","Negative")</f>
        <v>Negative</v>
      </c>
      <c r="C512" s="174" t="str">
        <f>L237</f>
        <v>8</v>
      </c>
      <c r="D512" s="191">
        <f>M237</f>
        <v>1245.273804662846</v>
      </c>
      <c r="E512" s="191">
        <f>IF(OR(C512="1",C512="a"),J512+I512+D512,IF(OR(C512="8",C512="b",C512="c",C512="d"),H512-D512,IF(C512="2",J512+I512-F512+D512,IF(C512=9,F512-D512+H512,D512))))</f>
        <v>1554.726195337154</v>
      </c>
      <c r="F512" s="174">
        <f>INPUT!J41</f>
        <v>22</v>
      </c>
      <c r="G512" s="174">
        <f>INPUT!L41</f>
        <v>12</v>
      </c>
      <c r="H512" s="174">
        <f>INPUT!N41</f>
        <v>2800</v>
      </c>
      <c r="I512" s="174">
        <f>INPUT!S41</f>
        <v>0</v>
      </c>
      <c r="J512" s="174">
        <f>INPUT!R41</f>
        <v>290</v>
      </c>
      <c r="K512" s="191">
        <f>IF(B512="Positive",G512+H512+I512+J512,F512+H512)</f>
        <v>2822</v>
      </c>
      <c r="L512" s="191">
        <f>0.42*K512</f>
        <v>1185.24</v>
      </c>
      <c r="M512" s="391" t="str">
        <f>IF(AND(INPUT!CH41&gt;=0,INPUT!Q41=0),"-",IF(E512&lt;=0.42*K512,"OK","NG"))</f>
        <v>-</v>
      </c>
      <c r="N512" s="4"/>
      <c r="Q512" s="4"/>
      <c r="R512" s="372"/>
      <c r="S512" s="4"/>
    </row>
    <row r="513">
      <c r="A513" s="187">
        <f>A412</f>
        <v>101</v>
      </c>
      <c r="B513" s="175" t="str">
        <f>IF(INPUT!CH42&lt;=0,"Positive","Negative")</f>
        <v>Negative</v>
      </c>
      <c r="C513" s="174" t="str">
        <f>L238</f>
        <v>8</v>
      </c>
      <c r="D513" s="191">
        <f>M238</f>
        <v>1245.273804662846</v>
      </c>
      <c r="E513" s="191">
        <f>IF(OR(C513="1",C513="a"),J513+I513+D513,IF(OR(C513="8",C513="b",C513="c",C513="d"),H513-D513,IF(C513="2",J513+I513-F513+D513,IF(C513=9,F513-D513+H513,D513))))</f>
        <v>1554.726195337154</v>
      </c>
      <c r="F513" s="174">
        <f>INPUT!J42</f>
        <v>22</v>
      </c>
      <c r="G513" s="174">
        <f>INPUT!L42</f>
        <v>12</v>
      </c>
      <c r="H513" s="174">
        <f>INPUT!N42</f>
        <v>2800</v>
      </c>
      <c r="I513" s="174">
        <f>INPUT!S42</f>
        <v>0</v>
      </c>
      <c r="J513" s="174">
        <f>INPUT!R42</f>
        <v>290</v>
      </c>
      <c r="K513" s="191">
        <f>IF(B513="Positive",G513+H513+I513+J513,F513+H513)</f>
        <v>2822</v>
      </c>
      <c r="L513" s="191">
        <f>0.42*K513</f>
        <v>1185.24</v>
      </c>
      <c r="M513" s="391" t="str">
        <f>IF(AND(INPUT!CH42&gt;=0,INPUT!Q42=0),"-",IF(E513&lt;=0.42*K513,"OK","NG"))</f>
        <v>-</v>
      </c>
      <c r="N513" s="4"/>
      <c r="Q513" s="4"/>
      <c r="R513" s="372"/>
      <c r="S513" s="4"/>
    </row>
    <row r="514">
      <c r="A514" s="187">
        <f>A413</f>
        <v>101</v>
      </c>
      <c r="B514" s="175" t="str">
        <f>IF(INPUT!CH43&lt;=0,"Positive","Negative")</f>
        <v>Negative</v>
      </c>
      <c r="C514" s="174" t="str">
        <f>L239</f>
        <v>8</v>
      </c>
      <c r="D514" s="191">
        <f>M239</f>
        <v>1245.273804662846</v>
      </c>
      <c r="E514" s="191">
        <f>IF(OR(C514="1",C514="a"),J514+I514+D514,IF(OR(C514="8",C514="b",C514="c",C514="d"),H514-D514,IF(C514="2",J514+I514-F514+D514,IF(C514=9,F514-D514+H514,D514))))</f>
        <v>1554.726195337154</v>
      </c>
      <c r="F514" s="174">
        <f>INPUT!J43</f>
        <v>22</v>
      </c>
      <c r="G514" s="174">
        <f>INPUT!L43</f>
        <v>12</v>
      </c>
      <c r="H514" s="174">
        <f>INPUT!N43</f>
        <v>2800</v>
      </c>
      <c r="I514" s="174">
        <f>INPUT!S43</f>
        <v>0</v>
      </c>
      <c r="J514" s="174">
        <f>INPUT!R43</f>
        <v>290</v>
      </c>
      <c r="K514" s="191">
        <f>IF(B514="Positive",G514+H514+I514+J514,F514+H514)</f>
        <v>2822</v>
      </c>
      <c r="L514" s="191">
        <f>0.42*K514</f>
        <v>1185.24</v>
      </c>
      <c r="M514" s="391" t="str">
        <f>IF(AND(INPUT!CH43&gt;=0,INPUT!Q43=0),"-",IF(E514&lt;=0.42*K514,"OK","NG"))</f>
        <v>-</v>
      </c>
      <c r="N514" s="4"/>
      <c r="Q514" s="4"/>
      <c r="R514" s="372"/>
      <c r="S514" s="4"/>
    </row>
    <row r="515">
      <c r="A515" s="187">
        <f>A414</f>
        <v>101</v>
      </c>
      <c r="B515" s="175" t="str">
        <f>IF(INPUT!CH44&lt;=0,"Positive","Negative")</f>
        <v>Negative</v>
      </c>
      <c r="C515" s="174" t="str">
        <f>L240</f>
        <v>8</v>
      </c>
      <c r="D515" s="191">
        <f>M240</f>
        <v>1245.273804662846</v>
      </c>
      <c r="E515" s="191">
        <f>IF(OR(C515="1",C515="a"),J515+I515+D515,IF(OR(C515="8",C515="b",C515="c",C515="d"),H515-D515,IF(C515="2",J515+I515-F515+D515,IF(C515=9,F515-D515+H515,D515))))</f>
        <v>1554.726195337154</v>
      </c>
      <c r="F515" s="174">
        <f>INPUT!J44</f>
        <v>22</v>
      </c>
      <c r="G515" s="174">
        <f>INPUT!L44</f>
        <v>12</v>
      </c>
      <c r="H515" s="174">
        <f>INPUT!N44</f>
        <v>2800</v>
      </c>
      <c r="I515" s="174">
        <f>INPUT!S44</f>
        <v>0</v>
      </c>
      <c r="J515" s="174">
        <f>INPUT!R44</f>
        <v>290</v>
      </c>
      <c r="K515" s="191">
        <f>IF(B515="Positive",G515+H515+I515+J515,F515+H515)</f>
        <v>2822</v>
      </c>
      <c r="L515" s="191">
        <f>0.42*K515</f>
        <v>1185.24</v>
      </c>
      <c r="M515" s="391" t="str">
        <f>IF(AND(INPUT!CH44&gt;=0,INPUT!Q44=0),"-",IF(E515&lt;=0.42*K515,"OK","NG"))</f>
        <v>-</v>
      </c>
      <c r="N515" s="4"/>
      <c r="Q515" s="4"/>
      <c r="R515" s="372"/>
      <c r="S515" s="4"/>
    </row>
    <row r="516">
      <c r="A516" s="187">
        <f>A415</f>
        <v>101</v>
      </c>
      <c r="B516" s="175" t="str">
        <f>IF(INPUT!CH45&lt;=0,"Positive","Negative")</f>
        <v>Negative</v>
      </c>
      <c r="C516" s="174" t="str">
        <f>L241</f>
        <v>8</v>
      </c>
      <c r="D516" s="191">
        <f>M241</f>
        <v>1245.273804662846</v>
      </c>
      <c r="E516" s="191">
        <f>IF(OR(C516="1",C516="a"),J516+I516+D516,IF(OR(C516="8",C516="b",C516="c",C516="d"),H516-D516,IF(C516="2",J516+I516-F516+D516,IF(C516=9,F516-D516+H516,D516))))</f>
        <v>1554.726195337154</v>
      </c>
      <c r="F516" s="174">
        <f>INPUT!J45</f>
        <v>22</v>
      </c>
      <c r="G516" s="174">
        <f>INPUT!L45</f>
        <v>12</v>
      </c>
      <c r="H516" s="174">
        <f>INPUT!N45</f>
        <v>2800</v>
      </c>
      <c r="I516" s="174">
        <f>INPUT!S45</f>
        <v>0</v>
      </c>
      <c r="J516" s="174">
        <f>INPUT!R45</f>
        <v>290</v>
      </c>
      <c r="K516" s="191">
        <f>IF(B516="Positive",G516+H516+I516+J516,F516+H516)</f>
        <v>2822</v>
      </c>
      <c r="L516" s="191">
        <f>0.42*K516</f>
        <v>1185.24</v>
      </c>
      <c r="M516" s="391" t="str">
        <f>IF(AND(INPUT!CH45&gt;=0,INPUT!Q45=0),"-",IF(E516&lt;=0.42*K516,"OK","NG"))</f>
        <v>-</v>
      </c>
      <c r="N516" s="4"/>
      <c r="Q516" s="4"/>
      <c r="R516" s="372"/>
      <c r="S516" s="4"/>
    </row>
    <row r="517">
      <c r="A517" s="187">
        <f>A416</f>
        <v>101</v>
      </c>
      <c r="B517" s="175" t="str">
        <f>IF(INPUT!CH46&lt;=0,"Positive","Negative")</f>
        <v>Negative</v>
      </c>
      <c r="C517" s="174" t="str">
        <f>L242</f>
        <v>8</v>
      </c>
      <c r="D517" s="191">
        <f>M242</f>
        <v>1245.273804662846</v>
      </c>
      <c r="E517" s="191">
        <f>IF(OR(C517="1",C517="a"),J517+I517+D517,IF(OR(C517="8",C517="b",C517="c",C517="d"),H517-D517,IF(C517="2",J517+I517-F517+D517,IF(C517=9,F517-D517+H517,D517))))</f>
        <v>1554.726195337154</v>
      </c>
      <c r="F517" s="174">
        <f>INPUT!J46</f>
        <v>22</v>
      </c>
      <c r="G517" s="174">
        <f>INPUT!L46</f>
        <v>12</v>
      </c>
      <c r="H517" s="174">
        <f>INPUT!N46</f>
        <v>2800</v>
      </c>
      <c r="I517" s="174">
        <f>INPUT!S46</f>
        <v>0</v>
      </c>
      <c r="J517" s="174">
        <f>INPUT!R46</f>
        <v>290</v>
      </c>
      <c r="K517" s="191">
        <f>IF(B517="Positive",G517+H517+I517+J517,F517+H517)</f>
        <v>2822</v>
      </c>
      <c r="L517" s="191">
        <f>0.42*K517</f>
        <v>1185.24</v>
      </c>
      <c r="M517" s="391" t="str">
        <f>IF(AND(INPUT!CH46&gt;=0,INPUT!Q46=0),"-",IF(E517&lt;=0.42*K517,"OK","NG"))</f>
        <v>-</v>
      </c>
      <c r="N517" s="4"/>
      <c r="Q517" s="4"/>
      <c r="R517" s="372"/>
      <c r="S517" s="4"/>
    </row>
    <row r="518">
      <c r="A518" s="187">
        <f>A417</f>
        <v>101</v>
      </c>
      <c r="B518" s="175" t="str">
        <f>IF(INPUT!CH47&lt;=0,"Positive","Negative")</f>
        <v>Negative</v>
      </c>
      <c r="C518" s="174" t="str">
        <f>L243</f>
        <v>8</v>
      </c>
      <c r="D518" s="191">
        <f>M243</f>
        <v>1245.273804662846</v>
      </c>
      <c r="E518" s="191">
        <f>IF(OR(C518="1",C518="a"),J518+I518+D518,IF(OR(C518="8",C518="b",C518="c",C518="d"),H518-D518,IF(C518="2",J518+I518-F518+D518,IF(C518=9,F518-D518+H518,D518))))</f>
        <v>1554.726195337154</v>
      </c>
      <c r="F518" s="174">
        <f>INPUT!J47</f>
        <v>22</v>
      </c>
      <c r="G518" s="174">
        <f>INPUT!L47</f>
        <v>12</v>
      </c>
      <c r="H518" s="174">
        <f>INPUT!N47</f>
        <v>2800</v>
      </c>
      <c r="I518" s="174">
        <f>INPUT!S47</f>
        <v>0</v>
      </c>
      <c r="J518" s="174">
        <f>INPUT!R47</f>
        <v>290</v>
      </c>
      <c r="K518" s="191">
        <f>IF(B518="Positive",G518+H518+I518+J518,F518+H518)</f>
        <v>2822</v>
      </c>
      <c r="L518" s="191">
        <f>0.42*K518</f>
        <v>1185.24</v>
      </c>
      <c r="M518" s="391" t="str">
        <f>IF(AND(INPUT!CH47&gt;=0,INPUT!Q47=0),"-",IF(E518&lt;=0.42*K518,"OK","NG"))</f>
        <v>-</v>
      </c>
      <c r="N518" s="4"/>
      <c r="Q518" s="4"/>
      <c r="R518" s="372"/>
      <c r="S518" s="4"/>
    </row>
    <row r="519">
      <c r="A519" s="187">
        <f>A418</f>
        <v>101</v>
      </c>
      <c r="B519" s="175" t="str">
        <f>IF(INPUT!CH48&lt;=0,"Positive","Negative")</f>
        <v>Negative</v>
      </c>
      <c r="C519" s="174" t="str">
        <f>L244</f>
        <v>8</v>
      </c>
      <c r="D519" s="191">
        <f>M244</f>
        <v>1245.273804662846</v>
      </c>
      <c r="E519" s="191">
        <f>IF(OR(C519="1",C519="a"),J519+I519+D519,IF(OR(C519="8",C519="b",C519="c",C519="d"),H519-D519,IF(C519="2",J519+I519-F519+D519,IF(C519=9,F519-D519+H519,D519))))</f>
        <v>1554.726195337154</v>
      </c>
      <c r="F519" s="174">
        <f>INPUT!J48</f>
        <v>22</v>
      </c>
      <c r="G519" s="174">
        <f>INPUT!L48</f>
        <v>12</v>
      </c>
      <c r="H519" s="174">
        <f>INPUT!N48</f>
        <v>2800</v>
      </c>
      <c r="I519" s="174">
        <f>INPUT!S48</f>
        <v>0</v>
      </c>
      <c r="J519" s="174">
        <f>INPUT!R48</f>
        <v>290</v>
      </c>
      <c r="K519" s="191">
        <f>IF(B519="Positive",G519+H519+I519+J519,F519+H519)</f>
        <v>2822</v>
      </c>
      <c r="L519" s="191">
        <f>0.42*K519</f>
        <v>1185.24</v>
      </c>
      <c r="M519" s="391" t="str">
        <f>IF(AND(INPUT!CH48&gt;=0,INPUT!Q48=0),"-",IF(E519&lt;=0.42*K519,"OK","NG"))</f>
        <v>-</v>
      </c>
      <c r="N519" s="4"/>
      <c r="Q519" s="4"/>
      <c r="R519" s="372"/>
      <c r="S519" s="4"/>
    </row>
    <row r="520">
      <c r="A520" s="187">
        <f>A419</f>
        <v>101</v>
      </c>
      <c r="B520" s="175" t="str">
        <f>IF(INPUT!CH49&lt;=0,"Positive","Negative")</f>
        <v>Negative</v>
      </c>
      <c r="C520" s="174" t="str">
        <f>L245</f>
        <v>8</v>
      </c>
      <c r="D520" s="191">
        <f>M245</f>
        <v>1245.273804662846</v>
      </c>
      <c r="E520" s="191">
        <f>IF(OR(C520="1",C520="a"),J520+I520+D520,IF(OR(C520="8",C520="b",C520="c",C520="d"),H520-D520,IF(C520="2",J520+I520-F520+D520,IF(C520=9,F520-D520+H520,D520))))</f>
        <v>1554.726195337154</v>
      </c>
      <c r="F520" s="174">
        <f>INPUT!J49</f>
        <v>22</v>
      </c>
      <c r="G520" s="174">
        <f>INPUT!L49</f>
        <v>12</v>
      </c>
      <c r="H520" s="174">
        <f>INPUT!N49</f>
        <v>2800</v>
      </c>
      <c r="I520" s="174">
        <f>INPUT!S49</f>
        <v>0</v>
      </c>
      <c r="J520" s="174">
        <f>INPUT!R49</f>
        <v>290</v>
      </c>
      <c r="K520" s="191">
        <f>IF(B520="Positive",G520+H520+I520+J520,F520+H520)</f>
        <v>2822</v>
      </c>
      <c r="L520" s="191">
        <f>0.42*K520</f>
        <v>1185.24</v>
      </c>
      <c r="M520" s="391" t="str">
        <f>IF(AND(INPUT!CH49&gt;=0,INPUT!Q49=0),"-",IF(E520&lt;=0.42*K520,"OK","NG"))</f>
        <v>-</v>
      </c>
      <c r="N520" s="4"/>
      <c r="Q520" s="4"/>
      <c r="R520" s="372"/>
      <c r="S520" s="4"/>
    </row>
    <row r="521">
      <c r="A521" s="187">
        <f>A420</f>
        <v>101</v>
      </c>
      <c r="B521" s="175" t="str">
        <f>IF(INPUT!CH50&lt;=0,"Positive","Negative")</f>
        <v>Negative</v>
      </c>
      <c r="C521" s="174" t="str">
        <f>L246</f>
        <v>8</v>
      </c>
      <c r="D521" s="191">
        <f>M246</f>
        <v>1245.273804662846</v>
      </c>
      <c r="E521" s="191">
        <f>IF(OR(C521="1",C521="a"),J521+I521+D521,IF(OR(C521="8",C521="b",C521="c",C521="d"),H521-D521,IF(C521="2",J521+I521-F521+D521,IF(C521=9,F521-D521+H521,D521))))</f>
        <v>1554.726195337154</v>
      </c>
      <c r="F521" s="174">
        <f>INPUT!J50</f>
        <v>22</v>
      </c>
      <c r="G521" s="174">
        <f>INPUT!L50</f>
        <v>12</v>
      </c>
      <c r="H521" s="174">
        <f>INPUT!N50</f>
        <v>2800</v>
      </c>
      <c r="I521" s="174">
        <f>INPUT!S50</f>
        <v>0</v>
      </c>
      <c r="J521" s="174">
        <f>INPUT!R50</f>
        <v>290</v>
      </c>
      <c r="K521" s="191">
        <f>IF(B521="Positive",G521+H521+I521+J521,F521+H521)</f>
        <v>2822</v>
      </c>
      <c r="L521" s="191">
        <f>0.42*K521</f>
        <v>1185.24</v>
      </c>
      <c r="M521" s="391" t="str">
        <f>IF(AND(INPUT!CH50&gt;=0,INPUT!Q50=0),"-",IF(E521&lt;=0.42*K521,"OK","NG"))</f>
        <v>-</v>
      </c>
      <c r="N521" s="4"/>
      <c r="Q521" s="4"/>
      <c r="R521" s="372"/>
      <c r="S521" s="4"/>
    </row>
    <row r="522">
      <c r="A522" s="187">
        <f>A421</f>
        <v>101</v>
      </c>
      <c r="B522" s="175" t="str">
        <f>IF(INPUT!CH51&lt;=0,"Positive","Negative")</f>
        <v>Negative</v>
      </c>
      <c r="C522" s="174" t="str">
        <f>L247</f>
        <v>8</v>
      </c>
      <c r="D522" s="191">
        <f>M247</f>
        <v>1245.273804662846</v>
      </c>
      <c r="E522" s="191">
        <f>IF(OR(C522="1",C522="a"),J522+I522+D522,IF(OR(C522="8",C522="b",C522="c",C522="d"),H522-D522,IF(C522="2",J522+I522-F522+D522,IF(C522=9,F522-D522+H522,D522))))</f>
        <v>1554.726195337154</v>
      </c>
      <c r="F522" s="174">
        <f>INPUT!J51</f>
        <v>22</v>
      </c>
      <c r="G522" s="174">
        <f>INPUT!L51</f>
        <v>12</v>
      </c>
      <c r="H522" s="174">
        <f>INPUT!N51</f>
        <v>2800</v>
      </c>
      <c r="I522" s="174">
        <f>INPUT!S51</f>
        <v>0</v>
      </c>
      <c r="J522" s="174">
        <f>INPUT!R51</f>
        <v>290</v>
      </c>
      <c r="K522" s="191">
        <f>IF(B522="Positive",G522+H522+I522+J522,F522+H522)</f>
        <v>2822</v>
      </c>
      <c r="L522" s="191">
        <f>0.42*K522</f>
        <v>1185.24</v>
      </c>
      <c r="M522" s="391" t="str">
        <f>IF(AND(INPUT!CH51&gt;=0,INPUT!Q51=0),"-",IF(E522&lt;=0.42*K522,"OK","NG"))</f>
        <v>-</v>
      </c>
      <c r="N522" s="4"/>
      <c r="Q522" s="4"/>
      <c r="R522" s="372"/>
      <c r="S522" s="4"/>
    </row>
    <row r="523">
      <c r="A523" s="187">
        <f>A422</f>
        <v>101</v>
      </c>
      <c r="B523" s="175" t="str">
        <f>IF(INPUT!CH52&lt;=0,"Positive","Negative")</f>
        <v>Negative</v>
      </c>
      <c r="C523" s="174" t="str">
        <f>L248</f>
        <v>8</v>
      </c>
      <c r="D523" s="191">
        <f>M248</f>
        <v>1245.273804662846</v>
      </c>
      <c r="E523" s="191">
        <f>IF(OR(C523="1",C523="a"),J523+I523+D523,IF(OR(C523="8",C523="b",C523="c",C523="d"),H523-D523,IF(C523="2",J523+I523-F523+D523,IF(C523=9,F523-D523+H523,D523))))</f>
        <v>1554.726195337154</v>
      </c>
      <c r="F523" s="174">
        <f>INPUT!J52</f>
        <v>22</v>
      </c>
      <c r="G523" s="174">
        <f>INPUT!L52</f>
        <v>12</v>
      </c>
      <c r="H523" s="174">
        <f>INPUT!N52</f>
        <v>2800</v>
      </c>
      <c r="I523" s="174">
        <f>INPUT!S52</f>
        <v>0</v>
      </c>
      <c r="J523" s="174">
        <f>INPUT!R52</f>
        <v>290</v>
      </c>
      <c r="K523" s="191">
        <f>IF(B523="Positive",G523+H523+I523+J523,F523+H523)</f>
        <v>2822</v>
      </c>
      <c r="L523" s="191">
        <f>0.42*K523</f>
        <v>1185.24</v>
      </c>
      <c r="M523" s="391" t="str">
        <f>IF(AND(INPUT!CH52&gt;=0,INPUT!Q52=0),"-",IF(E523&lt;=0.42*K523,"OK","NG"))</f>
        <v>-</v>
      </c>
      <c r="N523" s="4"/>
      <c r="Q523" s="4"/>
      <c r="R523" s="372"/>
      <c r="S523" s="4"/>
    </row>
    <row r="524">
      <c r="A524" s="187">
        <f>A423</f>
        <v>101</v>
      </c>
      <c r="B524" s="175" t="str">
        <f>IF(INPUT!CH53&lt;=0,"Positive","Negative")</f>
        <v>Negative</v>
      </c>
      <c r="C524" s="174" t="str">
        <f>L249</f>
        <v>8</v>
      </c>
      <c r="D524" s="191">
        <f>M249</f>
        <v>1245.273804662846</v>
      </c>
      <c r="E524" s="191">
        <f>IF(OR(C524="1",C524="a"),J524+I524+D524,IF(OR(C524="8",C524="b",C524="c",C524="d"),H524-D524,IF(C524="2",J524+I524-F524+D524,IF(C524=9,F524-D524+H524,D524))))</f>
        <v>1554.726195337154</v>
      </c>
      <c r="F524" s="174">
        <f>INPUT!J53</f>
        <v>22</v>
      </c>
      <c r="G524" s="174">
        <f>INPUT!L53</f>
        <v>12</v>
      </c>
      <c r="H524" s="174">
        <f>INPUT!N53</f>
        <v>2800</v>
      </c>
      <c r="I524" s="174">
        <f>INPUT!S53</f>
        <v>0</v>
      </c>
      <c r="J524" s="174">
        <f>INPUT!R53</f>
        <v>290</v>
      </c>
      <c r="K524" s="191">
        <f>IF(B524="Positive",G524+H524+I524+J524,F524+H524)</f>
        <v>2822</v>
      </c>
      <c r="L524" s="191">
        <f>0.42*K524</f>
        <v>1185.24</v>
      </c>
      <c r="M524" s="391" t="str">
        <f>IF(AND(INPUT!CH53&gt;=0,INPUT!Q53=0),"-",IF(E524&lt;=0.42*K524,"OK","NG"))</f>
        <v>-</v>
      </c>
      <c r="N524" s="4"/>
      <c r="Q524" s="4"/>
      <c r="R524" s="372"/>
      <c r="S524" s="4"/>
    </row>
    <row r="525">
      <c r="A525" s="187">
        <f>A424</f>
        <v>101</v>
      </c>
      <c r="B525" s="175" t="str">
        <f>IF(INPUT!CH54&lt;=0,"Positive","Negative")</f>
        <v>Negative</v>
      </c>
      <c r="C525" s="174" t="str">
        <f>L250</f>
        <v>8</v>
      </c>
      <c r="D525" s="191">
        <f>M250</f>
        <v>1245.273804662846</v>
      </c>
      <c r="E525" s="191">
        <f>IF(OR(C525="1",C525="a"),J525+I525+D525,IF(OR(C525="8",C525="b",C525="c",C525="d"),H525-D525,IF(C525="2",J525+I525-F525+D525,IF(C525=9,F525-D525+H525,D525))))</f>
        <v>1554.726195337154</v>
      </c>
      <c r="F525" s="174">
        <f>INPUT!J54</f>
        <v>22</v>
      </c>
      <c r="G525" s="174">
        <f>INPUT!L54</f>
        <v>12</v>
      </c>
      <c r="H525" s="174">
        <f>INPUT!N54</f>
        <v>2800</v>
      </c>
      <c r="I525" s="174">
        <f>INPUT!S54</f>
        <v>0</v>
      </c>
      <c r="J525" s="174">
        <f>INPUT!R54</f>
        <v>290</v>
      </c>
      <c r="K525" s="191">
        <f>IF(B525="Positive",G525+H525+I525+J525,F525+H525)</f>
        <v>2822</v>
      </c>
      <c r="L525" s="191">
        <f>0.42*K525</f>
        <v>1185.24</v>
      </c>
      <c r="M525" s="391" t="str">
        <f>IF(AND(INPUT!CH54&gt;=0,INPUT!Q54=0),"-",IF(E525&lt;=0.42*K525,"OK","NG"))</f>
        <v>-</v>
      </c>
      <c r="N525" s="4"/>
      <c r="Q525" s="4"/>
      <c r="R525" s="372"/>
      <c r="S525" s="4"/>
    </row>
    <row r="526">
      <c r="A526" s="187">
        <f>A425</f>
        <v>101</v>
      </c>
      <c r="B526" s="175" t="str">
        <f>IF(INPUT!CH55&lt;=0,"Positive","Negative")</f>
        <v>Negative</v>
      </c>
      <c r="C526" s="174" t="str">
        <f>L251</f>
        <v>8</v>
      </c>
      <c r="D526" s="191">
        <f>M251</f>
        <v>1245.273804662846</v>
      </c>
      <c r="E526" s="191">
        <f>IF(OR(C526="1",C526="a"),J526+I526+D526,IF(OR(C526="8",C526="b",C526="c",C526="d"),H526-D526,IF(C526="2",J526+I526-F526+D526,IF(C526=9,F526-D526+H526,D526))))</f>
        <v>1554.726195337154</v>
      </c>
      <c r="F526" s="174">
        <f>INPUT!J55</f>
        <v>22</v>
      </c>
      <c r="G526" s="174">
        <f>INPUT!L55</f>
        <v>12</v>
      </c>
      <c r="H526" s="174">
        <f>INPUT!N55</f>
        <v>2800</v>
      </c>
      <c r="I526" s="174">
        <f>INPUT!S55</f>
        <v>0</v>
      </c>
      <c r="J526" s="174">
        <f>INPUT!R55</f>
        <v>290</v>
      </c>
      <c r="K526" s="191">
        <f>IF(B526="Positive",G526+H526+I526+J526,F526+H526)</f>
        <v>2822</v>
      </c>
      <c r="L526" s="191">
        <f>0.42*K526</f>
        <v>1185.24</v>
      </c>
      <c r="M526" s="391" t="str">
        <f>IF(AND(INPUT!CH55&gt;=0,INPUT!Q55=0),"-",IF(E526&lt;=0.42*K526,"OK","NG"))</f>
        <v>-</v>
      </c>
      <c r="N526" s="4"/>
      <c r="Q526" s="4"/>
      <c r="R526" s="372"/>
      <c r="S526" s="4"/>
    </row>
    <row r="527">
      <c r="A527" s="187">
        <f>A426</f>
        <v>101</v>
      </c>
      <c r="B527" s="175" t="str">
        <f>IF(INPUT!CH56&lt;=0,"Positive","Negative")</f>
        <v>Negative</v>
      </c>
      <c r="C527" s="174" t="str">
        <f>L252</f>
        <v>8</v>
      </c>
      <c r="D527" s="191">
        <f>M252</f>
        <v>1245.273804662846</v>
      </c>
      <c r="E527" s="191">
        <f>IF(OR(C527="1",C527="a"),J527+I527+D527,IF(OR(C527="8",C527="b",C527="c",C527="d"),H527-D527,IF(C527="2",J527+I527-F527+D527,IF(C527=9,F527-D527+H527,D527))))</f>
        <v>1554.726195337154</v>
      </c>
      <c r="F527" s="174">
        <f>INPUT!J56</f>
        <v>22</v>
      </c>
      <c r="G527" s="174">
        <f>INPUT!L56</f>
        <v>12</v>
      </c>
      <c r="H527" s="174">
        <f>INPUT!N56</f>
        <v>2800</v>
      </c>
      <c r="I527" s="174">
        <f>INPUT!S56</f>
        <v>0</v>
      </c>
      <c r="J527" s="174">
        <f>INPUT!R56</f>
        <v>290</v>
      </c>
      <c r="K527" s="191">
        <f>IF(B527="Positive",G527+H527+I527+J527,F527+H527)</f>
        <v>2822</v>
      </c>
      <c r="L527" s="191">
        <f>0.42*K527</f>
        <v>1185.24</v>
      </c>
      <c r="M527" s="391" t="str">
        <f>IF(AND(INPUT!CH56&gt;=0,INPUT!Q56=0),"-",IF(E527&lt;=0.42*K527,"OK","NG"))</f>
        <v>-</v>
      </c>
      <c r="N527" s="4"/>
      <c r="Q527" s="4"/>
      <c r="R527" s="372"/>
      <c r="S527" s="4"/>
    </row>
    <row r="528">
      <c r="A528" s="187">
        <f>A427</f>
        <v>101</v>
      </c>
      <c r="B528" s="175" t="str">
        <f>IF(INPUT!CH57&lt;=0,"Positive","Negative")</f>
        <v>Negative</v>
      </c>
      <c r="C528" s="174" t="str">
        <f>L253</f>
        <v>8</v>
      </c>
      <c r="D528" s="191">
        <f>M253</f>
        <v>1245.273804662846</v>
      </c>
      <c r="E528" s="191">
        <f>IF(OR(C528="1",C528="a"),J528+I528+D528,IF(OR(C528="8",C528="b",C528="c",C528="d"),H528-D528,IF(C528="2",J528+I528-F528+D528,IF(C528=9,F528-D528+H528,D528))))</f>
        <v>1554.726195337154</v>
      </c>
      <c r="F528" s="174">
        <f>INPUT!J57</f>
        <v>22</v>
      </c>
      <c r="G528" s="174">
        <f>INPUT!L57</f>
        <v>12</v>
      </c>
      <c r="H528" s="174">
        <f>INPUT!N57</f>
        <v>2800</v>
      </c>
      <c r="I528" s="174">
        <f>INPUT!S57</f>
        <v>0</v>
      </c>
      <c r="J528" s="174">
        <f>INPUT!R57</f>
        <v>290</v>
      </c>
      <c r="K528" s="191">
        <f>IF(B528="Positive",G528+H528+I528+J528,F528+H528)</f>
        <v>2822</v>
      </c>
      <c r="L528" s="191">
        <f>0.42*K528</f>
        <v>1185.24</v>
      </c>
      <c r="M528" s="391" t="str">
        <f>IF(AND(INPUT!CH57&gt;=0,INPUT!Q57=0),"-",IF(E528&lt;=0.42*K528,"OK","NG"))</f>
        <v>-</v>
      </c>
      <c r="N528" s="4"/>
      <c r="Q528" s="4"/>
      <c r="R528" s="372"/>
      <c r="S528" s="4"/>
    </row>
    <row r="529">
      <c r="A529" s="187">
        <f>A428</f>
        <v>101</v>
      </c>
      <c r="B529" s="175" t="str">
        <f>IF(INPUT!CH58&lt;=0,"Positive","Negative")</f>
        <v>Negative</v>
      </c>
      <c r="C529" s="174" t="str">
        <f>L254</f>
        <v>8</v>
      </c>
      <c r="D529" s="191">
        <f>M254</f>
        <v>1245.273804662846</v>
      </c>
      <c r="E529" s="191">
        <f>IF(OR(C529="1",C529="a"),J529+I529+D529,IF(OR(C529="8",C529="b",C529="c",C529="d"),H529-D529,IF(C529="2",J529+I529-F529+D529,IF(C529=9,F529-D529+H529,D529))))</f>
        <v>1554.726195337154</v>
      </c>
      <c r="F529" s="174">
        <f>INPUT!J58</f>
        <v>22</v>
      </c>
      <c r="G529" s="174">
        <f>INPUT!L58</f>
        <v>12</v>
      </c>
      <c r="H529" s="174">
        <f>INPUT!N58</f>
        <v>2800</v>
      </c>
      <c r="I529" s="174">
        <f>INPUT!S58</f>
        <v>0</v>
      </c>
      <c r="J529" s="174">
        <f>INPUT!R58</f>
        <v>290</v>
      </c>
      <c r="K529" s="191">
        <f>IF(B529="Positive",G529+H529+I529+J529,F529+H529)</f>
        <v>2822</v>
      </c>
      <c r="L529" s="191">
        <f>0.42*K529</f>
        <v>1185.24</v>
      </c>
      <c r="M529" s="391" t="str">
        <f>IF(AND(INPUT!CH58&gt;=0,INPUT!Q58=0),"-",IF(E529&lt;=0.42*K529,"OK","NG"))</f>
        <v>-</v>
      </c>
      <c r="N529" s="4"/>
      <c r="Q529" s="4"/>
      <c r="R529" s="372"/>
      <c r="S529" s="4"/>
    </row>
    <row r="530">
      <c r="A530" s="187">
        <f>A429</f>
        <v>101</v>
      </c>
      <c r="B530" s="175" t="str">
        <f>IF(INPUT!CH59&lt;=0,"Positive","Negative")</f>
        <v>Negative</v>
      </c>
      <c r="C530" s="174" t="str">
        <f>L255</f>
        <v>8</v>
      </c>
      <c r="D530" s="191">
        <f>M255</f>
        <v>1245.273804662846</v>
      </c>
      <c r="E530" s="191">
        <f>IF(OR(C530="1",C530="a"),J530+I530+D530,IF(OR(C530="8",C530="b",C530="c",C530="d"),H530-D530,IF(C530="2",J530+I530-F530+D530,IF(C530=9,F530-D530+H530,D530))))</f>
        <v>1554.726195337154</v>
      </c>
      <c r="F530" s="174">
        <f>INPUT!J59</f>
        <v>22</v>
      </c>
      <c r="G530" s="174">
        <f>INPUT!L59</f>
        <v>12</v>
      </c>
      <c r="H530" s="174">
        <f>INPUT!N59</f>
        <v>2800</v>
      </c>
      <c r="I530" s="174">
        <f>INPUT!S59</f>
        <v>0</v>
      </c>
      <c r="J530" s="174">
        <f>INPUT!R59</f>
        <v>290</v>
      </c>
      <c r="K530" s="191">
        <f>IF(B530="Positive",G530+H530+I530+J530,F530+H530)</f>
        <v>2822</v>
      </c>
      <c r="L530" s="191">
        <f>0.42*K530</f>
        <v>1185.24</v>
      </c>
      <c r="M530" s="391" t="str">
        <f>IF(AND(INPUT!CH59&gt;=0,INPUT!Q59=0),"-",IF(E530&lt;=0.42*K530,"OK","NG"))</f>
        <v>-</v>
      </c>
      <c r="N530" s="4"/>
      <c r="Q530" s="4"/>
      <c r="R530" s="372"/>
      <c r="S530" s="4"/>
    </row>
    <row r="531">
      <c r="A531" s="187">
        <f>A430</f>
        <v>101</v>
      </c>
      <c r="B531" s="175" t="str">
        <f>IF(INPUT!CH60&lt;=0,"Positive","Negative")</f>
        <v>Negative</v>
      </c>
      <c r="C531" s="174" t="str">
        <f>L256</f>
        <v>8</v>
      </c>
      <c r="D531" s="191">
        <f>M256</f>
        <v>1245.273804662846</v>
      </c>
      <c r="E531" s="191">
        <f>IF(OR(C531="1",C531="a"),J531+I531+D531,IF(OR(C531="8",C531="b",C531="c",C531="d"),H531-D531,IF(C531="2",J531+I531-F531+D531,IF(C531=9,F531-D531+H531,D531))))</f>
        <v>1554.726195337154</v>
      </c>
      <c r="F531" s="174">
        <f>INPUT!J60</f>
        <v>22</v>
      </c>
      <c r="G531" s="174">
        <f>INPUT!L60</f>
        <v>12</v>
      </c>
      <c r="H531" s="174">
        <f>INPUT!N60</f>
        <v>2800</v>
      </c>
      <c r="I531" s="174">
        <f>INPUT!S60</f>
        <v>0</v>
      </c>
      <c r="J531" s="174">
        <f>INPUT!R60</f>
        <v>290</v>
      </c>
      <c r="K531" s="191">
        <f>IF(B531="Positive",G531+H531+I531+J531,F531+H531)</f>
        <v>2822</v>
      </c>
      <c r="L531" s="191">
        <f>0.42*K531</f>
        <v>1185.24</v>
      </c>
      <c r="M531" s="391" t="str">
        <f>IF(AND(INPUT!CH60&gt;=0,INPUT!Q60=0),"-",IF(E531&lt;=0.42*K531,"OK","NG"))</f>
        <v>-</v>
      </c>
      <c r="N531" s="4"/>
      <c r="Q531" s="4"/>
      <c r="R531" s="372"/>
      <c r="S531" s="4"/>
    </row>
    <row r="532">
      <c r="A532" s="187">
        <f>A431</f>
        <v>101</v>
      </c>
      <c r="B532" s="175" t="str">
        <f>IF(INPUT!CH61&lt;=0,"Positive","Negative")</f>
        <v>Negative</v>
      </c>
      <c r="C532" s="174" t="str">
        <f>L257</f>
        <v>8</v>
      </c>
      <c r="D532" s="191">
        <f>M257</f>
        <v>1245.273804662846</v>
      </c>
      <c r="E532" s="191">
        <f>IF(OR(C532="1",C532="a"),J532+I532+D532,IF(OR(C532="8",C532="b",C532="c",C532="d"),H532-D532,IF(C532="2",J532+I532-F532+D532,IF(C532=9,F532-D532+H532,D532))))</f>
        <v>1554.726195337154</v>
      </c>
      <c r="F532" s="174">
        <f>INPUT!J61</f>
        <v>22</v>
      </c>
      <c r="G532" s="174">
        <f>INPUT!L61</f>
        <v>12</v>
      </c>
      <c r="H532" s="174">
        <f>INPUT!N61</f>
        <v>2800</v>
      </c>
      <c r="I532" s="174">
        <f>INPUT!S61</f>
        <v>0</v>
      </c>
      <c r="J532" s="174">
        <f>INPUT!R61</f>
        <v>290</v>
      </c>
      <c r="K532" s="191">
        <f>IF(B532="Positive",G532+H532+I532+J532,F532+H532)</f>
        <v>2822</v>
      </c>
      <c r="L532" s="191">
        <f>0.42*K532</f>
        <v>1185.24</v>
      </c>
      <c r="M532" s="391" t="str">
        <f>IF(AND(INPUT!CH61&gt;=0,INPUT!Q61=0),"-",IF(E532&lt;=0.42*K532,"OK","NG"))</f>
        <v>-</v>
      </c>
      <c r="N532" s="4"/>
      <c r="Q532" s="4"/>
      <c r="R532" s="372"/>
      <c r="S532" s="4"/>
    </row>
    <row r="533">
      <c r="A533" s="187">
        <f>A432</f>
        <v>101</v>
      </c>
      <c r="B533" s="175" t="str">
        <f>IF(INPUT!CH62&lt;=0,"Positive","Negative")</f>
        <v>Negative</v>
      </c>
      <c r="C533" s="174" t="str">
        <f>L258</f>
        <v>8</v>
      </c>
      <c r="D533" s="191">
        <f>M258</f>
        <v>1245.273804662846</v>
      </c>
      <c r="E533" s="191">
        <f>IF(OR(C533="1",C533="a"),J533+I533+D533,IF(OR(C533="8",C533="b",C533="c",C533="d"),H533-D533,IF(C533="2",J533+I533-F533+D533,IF(C533=9,F533-D533+H533,D533))))</f>
        <v>1554.726195337154</v>
      </c>
      <c r="F533" s="174">
        <f>INPUT!J62</f>
        <v>22</v>
      </c>
      <c r="G533" s="174">
        <f>INPUT!L62</f>
        <v>12</v>
      </c>
      <c r="H533" s="174">
        <f>INPUT!N62</f>
        <v>2800</v>
      </c>
      <c r="I533" s="174">
        <f>INPUT!S62</f>
        <v>0</v>
      </c>
      <c r="J533" s="174">
        <f>INPUT!R62</f>
        <v>290</v>
      </c>
      <c r="K533" s="191">
        <f>IF(B533="Positive",G533+H533+I533+J533,F533+H533)</f>
        <v>2822</v>
      </c>
      <c r="L533" s="191">
        <f>0.42*K533</f>
        <v>1185.24</v>
      </c>
      <c r="M533" s="391" t="str">
        <f>IF(AND(INPUT!CH62&gt;=0,INPUT!Q62=0),"-",IF(E533&lt;=0.42*K533,"OK","NG"))</f>
        <v>-</v>
      </c>
      <c r="N533" s="4"/>
      <c r="Q533" s="4"/>
      <c r="R533" s="372"/>
      <c r="S533" s="4"/>
    </row>
    <row r="534">
      <c r="A534" s="187">
        <f>A433</f>
        <v>101</v>
      </c>
      <c r="B534" s="175" t="str">
        <f>IF(INPUT!CH63&lt;=0,"Positive","Negative")</f>
        <v>Negative</v>
      </c>
      <c r="C534" s="174" t="str">
        <f>L259</f>
        <v>8</v>
      </c>
      <c r="D534" s="191">
        <f>M259</f>
        <v>1245.273804662846</v>
      </c>
      <c r="E534" s="191">
        <f>IF(OR(C534="1",C534="a"),J534+I534+D534,IF(OR(C534="8",C534="b",C534="c",C534="d"),H534-D534,IF(C534="2",J534+I534-F534+D534,IF(C534=9,F534-D534+H534,D534))))</f>
        <v>1554.726195337154</v>
      </c>
      <c r="F534" s="174">
        <f>INPUT!J63</f>
        <v>22</v>
      </c>
      <c r="G534" s="174">
        <f>INPUT!L63</f>
        <v>12</v>
      </c>
      <c r="H534" s="174">
        <f>INPUT!N63</f>
        <v>2800</v>
      </c>
      <c r="I534" s="174">
        <f>INPUT!S63</f>
        <v>0</v>
      </c>
      <c r="J534" s="174">
        <f>INPUT!R63</f>
        <v>290</v>
      </c>
      <c r="K534" s="191">
        <f>IF(B534="Positive",G534+H534+I534+J534,F534+H534)</f>
        <v>2822</v>
      </c>
      <c r="L534" s="191">
        <f>0.42*K534</f>
        <v>1185.24</v>
      </c>
      <c r="M534" s="391" t="str">
        <f>IF(AND(INPUT!CH63&gt;=0,INPUT!Q63=0),"-",IF(E534&lt;=0.42*K534,"OK","NG"))</f>
        <v>-</v>
      </c>
      <c r="N534" s="4"/>
      <c r="Q534" s="4"/>
      <c r="R534" s="372"/>
      <c r="S534" s="4"/>
    </row>
    <row r="535">
      <c r="A535" s="187">
        <f>A434</f>
        <v>101</v>
      </c>
      <c r="B535" s="175" t="str">
        <f>IF(INPUT!CH64&lt;=0,"Positive","Negative")</f>
        <v>Negative</v>
      </c>
      <c r="C535" s="174" t="str">
        <f>L260</f>
        <v>8</v>
      </c>
      <c r="D535" s="191">
        <f>M260</f>
        <v>1245.273804662846</v>
      </c>
      <c r="E535" s="191">
        <f>IF(OR(C535="1",C535="a"),J535+I535+D535,IF(OR(C535="8",C535="b",C535="c",C535="d"),H535-D535,IF(C535="2",J535+I535-F535+D535,IF(C535=9,F535-D535+H535,D535))))</f>
        <v>1554.726195337154</v>
      </c>
      <c r="F535" s="174">
        <f>INPUT!J64</f>
        <v>22</v>
      </c>
      <c r="G535" s="174">
        <f>INPUT!L64</f>
        <v>12</v>
      </c>
      <c r="H535" s="174">
        <f>INPUT!N64</f>
        <v>2800</v>
      </c>
      <c r="I535" s="174">
        <f>INPUT!S64</f>
        <v>0</v>
      </c>
      <c r="J535" s="174">
        <f>INPUT!R64</f>
        <v>290</v>
      </c>
      <c r="K535" s="191">
        <f>IF(B535="Positive",G535+H535+I535+J535,F535+H535)</f>
        <v>2822</v>
      </c>
      <c r="L535" s="191">
        <f>0.42*K535</f>
        <v>1185.24</v>
      </c>
      <c r="M535" s="391" t="str">
        <f>IF(AND(INPUT!CH64&gt;=0,INPUT!Q64=0),"-",IF(E535&lt;=0.42*K535,"OK","NG"))</f>
        <v>-</v>
      </c>
      <c r="N535" s="4"/>
      <c r="Q535" s="4"/>
      <c r="R535" s="372"/>
      <c r="S535" s="4"/>
    </row>
    <row r="536">
      <c r="A536" s="187">
        <f>A435</f>
        <v>101</v>
      </c>
      <c r="B536" s="175" t="str">
        <f>IF(INPUT!CH65&lt;=0,"Positive","Negative")</f>
        <v>Negative</v>
      </c>
      <c r="C536" s="174" t="str">
        <f>L261</f>
        <v>8</v>
      </c>
      <c r="D536" s="191">
        <f>M261</f>
        <v>1245.273804662846</v>
      </c>
      <c r="E536" s="191">
        <f>IF(OR(C536="1",C536="a"),J536+I536+D536,IF(OR(C536="8",C536="b",C536="c",C536="d"),H536-D536,IF(C536="2",J536+I536-F536+D536,IF(C536=9,F536-D536+H536,D536))))</f>
        <v>1554.726195337154</v>
      </c>
      <c r="F536" s="174">
        <f>INPUT!J65</f>
        <v>22</v>
      </c>
      <c r="G536" s="174">
        <f>INPUT!L65</f>
        <v>12</v>
      </c>
      <c r="H536" s="174">
        <f>INPUT!N65</f>
        <v>2800</v>
      </c>
      <c r="I536" s="174">
        <f>INPUT!S65</f>
        <v>0</v>
      </c>
      <c r="J536" s="174">
        <f>INPUT!R65</f>
        <v>290</v>
      </c>
      <c r="K536" s="191">
        <f>IF(B536="Positive",G536+H536+I536+J536,F536+H536)</f>
        <v>2822</v>
      </c>
      <c r="L536" s="191">
        <f>0.42*K536</f>
        <v>1185.24</v>
      </c>
      <c r="M536" s="391" t="str">
        <f>IF(AND(INPUT!CH65&gt;=0,INPUT!Q65=0),"-",IF(E536&lt;=0.42*K536,"OK","NG"))</f>
        <v>-</v>
      </c>
      <c r="N536" s="4"/>
      <c r="Q536" s="4"/>
      <c r="R536" s="372"/>
      <c r="S536" s="4"/>
    </row>
    <row r="537">
      <c r="A537" s="187">
        <f>A436</f>
        <v>101</v>
      </c>
      <c r="B537" s="175" t="str">
        <f>IF(INPUT!CH66&lt;=0,"Positive","Negative")</f>
        <v>Negative</v>
      </c>
      <c r="C537" s="174" t="str">
        <f>L262</f>
        <v>8</v>
      </c>
      <c r="D537" s="191">
        <f>M262</f>
        <v>1245.273804662846</v>
      </c>
      <c r="E537" s="191">
        <f>IF(OR(C537="1",C537="a"),J537+I537+D537,IF(OR(C537="8",C537="b",C537="c",C537="d"),H537-D537,IF(C537="2",J537+I537-F537+D537,IF(C537=9,F537-D537+H537,D537))))</f>
        <v>1554.726195337154</v>
      </c>
      <c r="F537" s="174">
        <f>INPUT!J66</f>
        <v>22</v>
      </c>
      <c r="G537" s="174">
        <f>INPUT!L66</f>
        <v>12</v>
      </c>
      <c r="H537" s="174">
        <f>INPUT!N66</f>
        <v>2800</v>
      </c>
      <c r="I537" s="174">
        <f>INPUT!S66</f>
        <v>0</v>
      </c>
      <c r="J537" s="174">
        <f>INPUT!R66</f>
        <v>290</v>
      </c>
      <c r="K537" s="191">
        <f>IF(B537="Positive",G537+H537+I537+J537,F537+H537)</f>
        <v>2822</v>
      </c>
      <c r="L537" s="191">
        <f>0.42*K537</f>
        <v>1185.24</v>
      </c>
      <c r="M537" s="391" t="str">
        <f>IF(AND(INPUT!CH66&gt;=0,INPUT!Q66=0),"-",IF(E537&lt;=0.42*K537,"OK","NG"))</f>
        <v>-</v>
      </c>
      <c r="N537" s="4"/>
      <c r="Q537" s="4"/>
      <c r="R537" s="372"/>
      <c r="S537" s="4"/>
    </row>
    <row r="538">
      <c r="A538" s="187">
        <f>A437</f>
        <v>101</v>
      </c>
      <c r="B538" s="175" t="str">
        <f>IF(INPUT!CH67&lt;=0,"Positive","Negative")</f>
        <v>Negative</v>
      </c>
      <c r="C538" s="174" t="str">
        <f>L263</f>
        <v>8</v>
      </c>
      <c r="D538" s="191">
        <f>M263</f>
        <v>1245.273804662846</v>
      </c>
      <c r="E538" s="191">
        <f>IF(OR(C538="1",C538="a"),J538+I538+D538,IF(OR(C538="8",C538="b",C538="c",C538="d"),H538-D538,IF(C538="2",J538+I538-F538+D538,IF(C538=9,F538-D538+H538,D538))))</f>
        <v>1554.726195337154</v>
      </c>
      <c r="F538" s="174">
        <f>INPUT!J67</f>
        <v>22</v>
      </c>
      <c r="G538" s="174">
        <f>INPUT!L67</f>
        <v>12</v>
      </c>
      <c r="H538" s="174">
        <f>INPUT!N67</f>
        <v>2800</v>
      </c>
      <c r="I538" s="174">
        <f>INPUT!S67</f>
        <v>0</v>
      </c>
      <c r="J538" s="174">
        <f>INPUT!R67</f>
        <v>290</v>
      </c>
      <c r="K538" s="191">
        <f>IF(B538="Positive",G538+H538+I538+J538,F538+H538)</f>
        <v>2822</v>
      </c>
      <c r="L538" s="191">
        <f>0.42*K538</f>
        <v>1185.24</v>
      </c>
      <c r="M538" s="391" t="str">
        <f>IF(AND(INPUT!CH67&gt;=0,INPUT!Q67=0),"-",IF(E538&lt;=0.42*K538,"OK","NG"))</f>
        <v>-</v>
      </c>
      <c r="N538" s="4"/>
      <c r="Q538" s="4"/>
      <c r="R538" s="372"/>
      <c r="S538" s="4"/>
    </row>
    <row r="539">
      <c r="A539" s="187">
        <f>A438</f>
        <v>101</v>
      </c>
      <c r="B539" s="175" t="str">
        <f>IF(INPUT!CH68&lt;=0,"Positive","Negative")</f>
        <v>Negative</v>
      </c>
      <c r="C539" s="174" t="str">
        <f>L264</f>
        <v>8</v>
      </c>
      <c r="D539" s="191">
        <f>M264</f>
        <v>1245.273804662846</v>
      </c>
      <c r="E539" s="191">
        <f>IF(OR(C539="1",C539="a"),J539+I539+D539,IF(OR(C539="8",C539="b",C539="c",C539="d"),H539-D539,IF(C539="2",J539+I539-F539+D539,IF(C539=9,F539-D539+H539,D539))))</f>
        <v>1554.726195337154</v>
      </c>
      <c r="F539" s="174">
        <f>INPUT!J68</f>
        <v>22</v>
      </c>
      <c r="G539" s="174">
        <f>INPUT!L68</f>
        <v>12</v>
      </c>
      <c r="H539" s="174">
        <f>INPUT!N68</f>
        <v>2800</v>
      </c>
      <c r="I539" s="174">
        <f>INPUT!S68</f>
        <v>0</v>
      </c>
      <c r="J539" s="174">
        <f>INPUT!R68</f>
        <v>290</v>
      </c>
      <c r="K539" s="191">
        <f>IF(B539="Positive",G539+H539+I539+J539,F539+H539)</f>
        <v>2822</v>
      </c>
      <c r="L539" s="191">
        <f>0.42*K539</f>
        <v>1185.24</v>
      </c>
      <c r="M539" s="391" t="str">
        <f>IF(AND(INPUT!CH68&gt;=0,INPUT!Q68=0),"-",IF(E539&lt;=0.42*K539,"OK","NG"))</f>
        <v>-</v>
      </c>
      <c r="N539" s="4"/>
      <c r="Q539" s="4"/>
      <c r="R539" s="372"/>
      <c r="S539" s="4"/>
    </row>
    <row r="540">
      <c r="A540" s="187">
        <f>A439</f>
        <v>101</v>
      </c>
      <c r="B540" s="175" t="str">
        <f>IF(INPUT!CH69&lt;=0,"Positive","Negative")</f>
        <v>Negative</v>
      </c>
      <c r="C540" s="174" t="str">
        <f>L265</f>
        <v>8</v>
      </c>
      <c r="D540" s="191">
        <f>M265</f>
        <v>1245.273804662846</v>
      </c>
      <c r="E540" s="191">
        <f>IF(OR(C540="1",C540="a"),J540+I540+D540,IF(OR(C540="8",C540="b",C540="c",C540="d"),H540-D540,IF(C540="2",J540+I540-F540+D540,IF(C540=9,F540-D540+H540,D540))))</f>
        <v>1554.726195337154</v>
      </c>
      <c r="F540" s="174">
        <f>INPUT!J69</f>
        <v>22</v>
      </c>
      <c r="G540" s="174">
        <f>INPUT!L69</f>
        <v>12</v>
      </c>
      <c r="H540" s="174">
        <f>INPUT!N69</f>
        <v>2800</v>
      </c>
      <c r="I540" s="174">
        <f>INPUT!S69</f>
        <v>0</v>
      </c>
      <c r="J540" s="174">
        <f>INPUT!R69</f>
        <v>290</v>
      </c>
      <c r="K540" s="191">
        <f>IF(B540="Positive",G540+H540+I540+J540,F540+H540)</f>
        <v>2822</v>
      </c>
      <c r="L540" s="191">
        <f>0.42*K540</f>
        <v>1185.24</v>
      </c>
      <c r="M540" s="391" t="str">
        <f>IF(AND(INPUT!CH69&gt;=0,INPUT!Q69=0),"-",IF(E540&lt;=0.42*K540,"OK","NG"))</f>
        <v>-</v>
      </c>
      <c r="N540" s="4"/>
      <c r="Q540" s="4"/>
      <c r="R540" s="372"/>
      <c r="S540" s="4"/>
    </row>
    <row r="541">
      <c r="A541" s="187">
        <f>A440</f>
        <v>101</v>
      </c>
      <c r="B541" s="175" t="str">
        <f>IF(INPUT!CH70&lt;=0,"Positive","Negative")</f>
        <v>Negative</v>
      </c>
      <c r="C541" s="174" t="str">
        <f>L266</f>
        <v>8</v>
      </c>
      <c r="D541" s="191">
        <f>M266</f>
        <v>1245.273804662846</v>
      </c>
      <c r="E541" s="191">
        <f>IF(OR(C541="1",C541="a"),J541+I541+D541,IF(OR(C541="8",C541="b",C541="c",C541="d"),H541-D541,IF(C541="2",J541+I541-F541+D541,IF(C541=9,F541-D541+H541,D541))))</f>
        <v>1554.726195337154</v>
      </c>
      <c r="F541" s="174">
        <f>INPUT!J70</f>
        <v>22</v>
      </c>
      <c r="G541" s="174">
        <f>INPUT!L70</f>
        <v>12</v>
      </c>
      <c r="H541" s="174">
        <f>INPUT!N70</f>
        <v>2800</v>
      </c>
      <c r="I541" s="174">
        <f>INPUT!S70</f>
        <v>0</v>
      </c>
      <c r="J541" s="174">
        <f>INPUT!R70</f>
        <v>290</v>
      </c>
      <c r="K541" s="191">
        <f>IF(B541="Positive",G541+H541+I541+J541,F541+H541)</f>
        <v>2822</v>
      </c>
      <c r="L541" s="191">
        <f>0.42*K541</f>
        <v>1185.24</v>
      </c>
      <c r="M541" s="391" t="str">
        <f>IF(AND(INPUT!CH70&gt;=0,INPUT!Q70=0),"-",IF(E541&lt;=0.42*K541,"OK","NG"))</f>
        <v>-</v>
      </c>
      <c r="N541" s="4"/>
      <c r="Q541" s="4"/>
      <c r="R541" s="372"/>
      <c r="S541" s="4"/>
    </row>
    <row r="542">
      <c r="A542" s="187">
        <f>A441</f>
        <v>101</v>
      </c>
      <c r="B542" s="175" t="str">
        <f>IF(INPUT!CH71&lt;=0,"Positive","Negative")</f>
        <v>Negative</v>
      </c>
      <c r="C542" s="174" t="str">
        <f>L267</f>
        <v>8</v>
      </c>
      <c r="D542" s="191">
        <f>M267</f>
        <v>1245.273804662846</v>
      </c>
      <c r="E542" s="191">
        <f>IF(OR(C542="1",C542="a"),J542+I542+D542,IF(OR(C542="8",C542="b",C542="c",C542="d"),H542-D542,IF(C542="2",J542+I542-F542+D542,IF(C542=9,F542-D542+H542,D542))))</f>
        <v>1554.726195337154</v>
      </c>
      <c r="F542" s="174">
        <f>INPUT!J71</f>
        <v>22</v>
      </c>
      <c r="G542" s="174">
        <f>INPUT!L71</f>
        <v>12</v>
      </c>
      <c r="H542" s="174">
        <f>INPUT!N71</f>
        <v>2800</v>
      </c>
      <c r="I542" s="174">
        <f>INPUT!S71</f>
        <v>0</v>
      </c>
      <c r="J542" s="174">
        <f>INPUT!R71</f>
        <v>290</v>
      </c>
      <c r="K542" s="191">
        <f>IF(B542="Positive",G542+H542+I542+J542,F542+H542)</f>
        <v>2822</v>
      </c>
      <c r="L542" s="191">
        <f>0.42*K542</f>
        <v>1185.24</v>
      </c>
      <c r="M542" s="391" t="str">
        <f>IF(AND(INPUT!CH71&gt;=0,INPUT!Q71=0),"-",IF(E542&lt;=0.42*K542,"OK","NG"))</f>
        <v>-</v>
      </c>
      <c r="N542" s="4"/>
      <c r="Q542" s="4"/>
      <c r="R542" s="372"/>
      <c r="S542" s="4"/>
    </row>
    <row r="543">
      <c r="A543" s="187">
        <f>A442</f>
        <v>101</v>
      </c>
      <c r="B543" s="175" t="str">
        <f>IF(INPUT!CH72&lt;=0,"Positive","Negative")</f>
        <v>Negative</v>
      </c>
      <c r="C543" s="174" t="str">
        <f>L268</f>
        <v>8</v>
      </c>
      <c r="D543" s="191">
        <f>M268</f>
        <v>1245.273804662846</v>
      </c>
      <c r="E543" s="191">
        <f>IF(OR(C543="1",C543="a"),J543+I543+D543,IF(OR(C543="8",C543="b",C543="c",C543="d"),H543-D543,IF(C543="2",J543+I543-F543+D543,IF(C543=9,F543-D543+H543,D543))))</f>
        <v>1554.726195337154</v>
      </c>
      <c r="F543" s="174">
        <f>INPUT!J72</f>
        <v>22</v>
      </c>
      <c r="G543" s="174">
        <f>INPUT!L72</f>
        <v>12</v>
      </c>
      <c r="H543" s="174">
        <f>INPUT!N72</f>
        <v>2800</v>
      </c>
      <c r="I543" s="174">
        <f>INPUT!S72</f>
        <v>0</v>
      </c>
      <c r="J543" s="174">
        <f>INPUT!R72</f>
        <v>290</v>
      </c>
      <c r="K543" s="191">
        <f>IF(B543="Positive",G543+H543+I543+J543,F543+H543)</f>
        <v>2822</v>
      </c>
      <c r="L543" s="191">
        <f>0.42*K543</f>
        <v>1185.24</v>
      </c>
      <c r="M543" s="391" t="str">
        <f>IF(AND(INPUT!CH72&gt;=0,INPUT!Q72=0),"-",IF(E543&lt;=0.42*K543,"OK","NG"))</f>
        <v>-</v>
      </c>
      <c r="N543" s="4"/>
      <c r="Q543" s="4"/>
      <c r="R543" s="372"/>
      <c r="S543" s="4"/>
    </row>
    <row r="544">
      <c r="A544" s="187">
        <f>A443</f>
        <v>101</v>
      </c>
      <c r="B544" s="175" t="str">
        <f>IF(INPUT!CH73&lt;=0,"Positive","Negative")</f>
        <v>Negative</v>
      </c>
      <c r="C544" s="174" t="str">
        <f>L269</f>
        <v>8</v>
      </c>
      <c r="D544" s="191">
        <f>M269</f>
        <v>1245.273804662846</v>
      </c>
      <c r="E544" s="191">
        <f>IF(OR(C544="1",C544="a"),J544+I544+D544,IF(OR(C544="8",C544="b",C544="c",C544="d"),H544-D544,IF(C544="2",J544+I544-F544+D544,IF(C544=9,F544-D544+H544,D544))))</f>
        <v>1554.726195337154</v>
      </c>
      <c r="F544" s="174">
        <f>INPUT!J73</f>
        <v>22</v>
      </c>
      <c r="G544" s="174">
        <f>INPUT!L73</f>
        <v>12</v>
      </c>
      <c r="H544" s="174">
        <f>INPUT!N73</f>
        <v>2800</v>
      </c>
      <c r="I544" s="174">
        <f>INPUT!S73</f>
        <v>0</v>
      </c>
      <c r="J544" s="174">
        <f>INPUT!R73</f>
        <v>290</v>
      </c>
      <c r="K544" s="191">
        <f>IF(B544="Positive",G544+H544+I544+J544,F544+H544)</f>
        <v>2822</v>
      </c>
      <c r="L544" s="191">
        <f>0.42*K544</f>
        <v>1185.24</v>
      </c>
      <c r="M544" s="391" t="str">
        <f>IF(AND(INPUT!CH73&gt;=0,INPUT!Q73=0),"-",IF(E544&lt;=0.42*K544,"OK","NG"))</f>
        <v>-</v>
      </c>
      <c r="N544" s="4"/>
      <c r="Q544" s="4"/>
      <c r="R544" s="372"/>
      <c r="S544" s="4"/>
    </row>
    <row r="545">
      <c r="A545" s="187">
        <f>A444</f>
        <v>101</v>
      </c>
      <c r="B545" s="175" t="str">
        <f>IF(INPUT!CH74&lt;=0,"Positive","Negative")</f>
        <v>Negative</v>
      </c>
      <c r="C545" s="174" t="str">
        <f>L270</f>
        <v>8</v>
      </c>
      <c r="D545" s="191">
        <f>M270</f>
        <v>1245.273804662846</v>
      </c>
      <c r="E545" s="191">
        <f>IF(OR(C545="1",C545="a"),J545+I545+D545,IF(OR(C545="8",C545="b",C545="c",C545="d"),H545-D545,IF(C545="2",J545+I545-F545+D545,IF(C545=9,F545-D545+H545,D545))))</f>
        <v>1554.726195337154</v>
      </c>
      <c r="F545" s="174">
        <f>INPUT!J74</f>
        <v>22</v>
      </c>
      <c r="G545" s="174">
        <f>INPUT!L74</f>
        <v>12</v>
      </c>
      <c r="H545" s="174">
        <f>INPUT!N74</f>
        <v>2800</v>
      </c>
      <c r="I545" s="174">
        <f>INPUT!S74</f>
        <v>0</v>
      </c>
      <c r="J545" s="174">
        <f>INPUT!R74</f>
        <v>290</v>
      </c>
      <c r="K545" s="191">
        <f>IF(B545="Positive",G545+H545+I545+J545,F545+H545)</f>
        <v>2822</v>
      </c>
      <c r="L545" s="191">
        <f>0.42*K545</f>
        <v>1185.24</v>
      </c>
      <c r="M545" s="391" t="str">
        <f>IF(AND(INPUT!CH74&gt;=0,INPUT!Q74=0),"-",IF(E545&lt;=0.42*K545,"OK","NG"))</f>
        <v>-</v>
      </c>
      <c r="N545" s="4"/>
      <c r="Q545" s="4"/>
      <c r="R545" s="372"/>
      <c r="S545" s="4"/>
    </row>
    <row r="546">
      <c r="A546" s="187">
        <f>A445</f>
        <v>101</v>
      </c>
      <c r="B546" s="175" t="str">
        <f>IF(INPUT!CH75&lt;=0,"Positive","Negative")</f>
        <v>Negative</v>
      </c>
      <c r="C546" s="174" t="str">
        <f>L271</f>
        <v>8</v>
      </c>
      <c r="D546" s="191">
        <f>M271</f>
        <v>1245.273804662846</v>
      </c>
      <c r="E546" s="191">
        <f>IF(OR(C546="1",C546="a"),J546+I546+D546,IF(OR(C546="8",C546="b",C546="c",C546="d"),H546-D546,IF(C546="2",J546+I546-F546+D546,IF(C546=9,F546-D546+H546,D546))))</f>
        <v>1554.726195337154</v>
      </c>
      <c r="F546" s="174">
        <f>INPUT!J75</f>
        <v>22</v>
      </c>
      <c r="G546" s="174">
        <f>INPUT!L75</f>
        <v>12</v>
      </c>
      <c r="H546" s="174">
        <f>INPUT!N75</f>
        <v>2800</v>
      </c>
      <c r="I546" s="174">
        <f>INPUT!S75</f>
        <v>0</v>
      </c>
      <c r="J546" s="174">
        <f>INPUT!R75</f>
        <v>290</v>
      </c>
      <c r="K546" s="191">
        <f>IF(B546="Positive",G546+H546+I546+J546,F546+H546)</f>
        <v>2822</v>
      </c>
      <c r="L546" s="191">
        <f>0.42*K546</f>
        <v>1185.24</v>
      </c>
      <c r="M546" s="391" t="str">
        <f>IF(AND(INPUT!CH75&gt;=0,INPUT!Q75=0),"-",IF(E546&lt;=0.42*K546,"OK","NG"))</f>
        <v>-</v>
      </c>
      <c r="N546" s="4"/>
      <c r="Q546" s="4"/>
      <c r="R546" s="372"/>
      <c r="S546" s="4"/>
    </row>
    <row r="547">
      <c r="A547" s="187">
        <f>A446</f>
        <v>101</v>
      </c>
      <c r="B547" s="175" t="str">
        <f>IF(INPUT!CH76&lt;=0,"Positive","Negative")</f>
        <v>Negative</v>
      </c>
      <c r="C547" s="174" t="str">
        <f>L272</f>
        <v>8</v>
      </c>
      <c r="D547" s="191">
        <f>M272</f>
        <v>1245.273804662846</v>
      </c>
      <c r="E547" s="191">
        <f>IF(OR(C547="1",C547="a"),J547+I547+D547,IF(OR(C547="8",C547="b",C547="c",C547="d"),H547-D547,IF(C547="2",J547+I547-F547+D547,IF(C547=9,F547-D547+H547,D547))))</f>
        <v>1554.726195337154</v>
      </c>
      <c r="F547" s="174">
        <f>INPUT!J76</f>
        <v>22</v>
      </c>
      <c r="G547" s="174">
        <f>INPUT!L76</f>
        <v>12</v>
      </c>
      <c r="H547" s="174">
        <f>INPUT!N76</f>
        <v>2800</v>
      </c>
      <c r="I547" s="174">
        <f>INPUT!S76</f>
        <v>0</v>
      </c>
      <c r="J547" s="174">
        <f>INPUT!R76</f>
        <v>290</v>
      </c>
      <c r="K547" s="191">
        <f>IF(B547="Positive",G547+H547+I547+J547,F547+H547)</f>
        <v>2822</v>
      </c>
      <c r="L547" s="191">
        <f>0.42*K547</f>
        <v>1185.24</v>
      </c>
      <c r="M547" s="391" t="str">
        <f>IF(AND(INPUT!CH76&gt;=0,INPUT!Q76=0),"-",IF(E547&lt;=0.42*K547,"OK","NG"))</f>
        <v>-</v>
      </c>
      <c r="N547" s="4"/>
      <c r="Q547" s="4"/>
      <c r="R547" s="372"/>
      <c r="S547" s="4"/>
    </row>
    <row r="548">
      <c r="A548" s="187">
        <f>A447</f>
        <v>101</v>
      </c>
      <c r="B548" s="175" t="str">
        <f>IF(INPUT!CH77&lt;=0,"Positive","Negative")</f>
        <v>Negative</v>
      </c>
      <c r="C548" s="174" t="str">
        <f>L273</f>
        <v>8</v>
      </c>
      <c r="D548" s="191">
        <f>M273</f>
        <v>1245.273804662846</v>
      </c>
      <c r="E548" s="191">
        <f>IF(OR(C548="1",C548="a"),J548+I548+D548,IF(OR(C548="8",C548="b",C548="c",C548="d"),H548-D548,IF(C548="2",J548+I548-F548+D548,IF(C548=9,F548-D548+H548,D548))))</f>
        <v>1554.726195337154</v>
      </c>
      <c r="F548" s="174">
        <f>INPUT!J77</f>
        <v>22</v>
      </c>
      <c r="G548" s="174">
        <f>INPUT!L77</f>
        <v>12</v>
      </c>
      <c r="H548" s="174">
        <f>INPUT!N77</f>
        <v>2800</v>
      </c>
      <c r="I548" s="174">
        <f>INPUT!S77</f>
        <v>0</v>
      </c>
      <c r="J548" s="174">
        <f>INPUT!R77</f>
        <v>290</v>
      </c>
      <c r="K548" s="191">
        <f>IF(B548="Positive",G548+H548+I548+J548,F548+H548)</f>
        <v>2822</v>
      </c>
      <c r="L548" s="191">
        <f>0.42*K548</f>
        <v>1185.24</v>
      </c>
      <c r="M548" s="391" t="str">
        <f>IF(AND(INPUT!CH77&gt;=0,INPUT!Q77=0),"-",IF(E548&lt;=0.42*K548,"OK","NG"))</f>
        <v>-</v>
      </c>
      <c r="N548" s="4"/>
      <c r="Q548" s="4"/>
      <c r="R548" s="372"/>
      <c r="S548" s="4"/>
    </row>
    <row r="549">
      <c r="A549" s="187">
        <f>A448</f>
        <v>101</v>
      </c>
      <c r="B549" s="175" t="str">
        <f>IF(INPUT!CH78&lt;=0,"Positive","Negative")</f>
        <v>Negative</v>
      </c>
      <c r="C549" s="174" t="str">
        <f>L274</f>
        <v>8</v>
      </c>
      <c r="D549" s="191">
        <f>M274</f>
        <v>1245.273804662846</v>
      </c>
      <c r="E549" s="191">
        <f>IF(OR(C549="1",C549="a"),J549+I549+D549,IF(OR(C549="8",C549="b",C549="c",C549="d"),H549-D549,IF(C549="2",J549+I549-F549+D549,IF(C549=9,F549-D549+H549,D549))))</f>
        <v>1554.726195337154</v>
      </c>
      <c r="F549" s="174">
        <f>INPUT!J78</f>
        <v>22</v>
      </c>
      <c r="G549" s="174">
        <f>INPUT!L78</f>
        <v>12</v>
      </c>
      <c r="H549" s="174">
        <f>INPUT!N78</f>
        <v>2800</v>
      </c>
      <c r="I549" s="174">
        <f>INPUT!S78</f>
        <v>0</v>
      </c>
      <c r="J549" s="174">
        <f>INPUT!R78</f>
        <v>290</v>
      </c>
      <c r="K549" s="191">
        <f>IF(B549="Positive",G549+H549+I549+J549,F549+H549)</f>
        <v>2822</v>
      </c>
      <c r="L549" s="191">
        <f>0.42*K549</f>
        <v>1185.24</v>
      </c>
      <c r="M549" s="391" t="str">
        <f>IF(AND(INPUT!CH78&gt;=0,INPUT!Q78=0),"-",IF(E549&lt;=0.42*K549,"OK","NG"))</f>
        <v>-</v>
      </c>
      <c r="N549" s="4"/>
      <c r="Q549" s="4"/>
      <c r="R549" s="372"/>
      <c r="S549" s="4"/>
    </row>
    <row r="550" ht="15" customHeight="1" s="4" customFormat="1">
      <c r="A550" s="80"/>
      <c r="B550" s="292"/>
      <c r="C550" s="293"/>
      <c r="D550" s="294"/>
      <c r="E550" s="294"/>
      <c r="F550" s="294"/>
      <c r="G550" s="294"/>
      <c r="H550" s="294"/>
      <c r="I550" s="294"/>
      <c r="J550" s="294"/>
      <c r="K550" s="294"/>
      <c r="L550" s="80"/>
      <c r="M550" s="295"/>
      <c r="O550" s="308"/>
      <c r="P550" s="64"/>
      <c r="R550" s="372"/>
    </row>
    <row r="551" ht="15" customHeight="1" s="4" customFormat="1">
      <c r="G551" s="110"/>
      <c r="H551" s="110"/>
      <c r="I551" s="110"/>
      <c r="L551" s="207"/>
      <c r="O551" s="307"/>
      <c r="P551" s="64"/>
      <c r="X551" s="207"/>
      <c r="Z551" s="207"/>
      <c r="AC551" s="207"/>
    </row>
    <row r="552" ht="15" customHeight="1" s="4" customFormat="1">
      <c r="A552" s="39" t="s">
        <v>778</v>
      </c>
      <c r="G552" s="110"/>
      <c r="H552" s="110"/>
      <c r="I552" s="110"/>
      <c r="L552" s="207"/>
      <c r="O552" s="307"/>
      <c r="P552" s="64"/>
      <c r="Z552" s="207"/>
      <c r="AB552" s="40"/>
      <c r="AE552" s="207"/>
    </row>
    <row r="553" ht="15" customHeight="1" s="4" customFormat="1">
      <c r="A553" s="260" t="s">
        <v>197</v>
      </c>
      <c r="B553" s="4" t="s">
        <v>779</v>
      </c>
      <c r="G553" s="110"/>
      <c r="H553" s="110"/>
      <c r="I553" s="110"/>
      <c r="L553" s="207"/>
      <c r="N553" s="234" t="s">
        <v>532</v>
      </c>
      <c r="O553" s="296"/>
      <c r="P553" s="64"/>
      <c r="Z553" s="207"/>
      <c r="AB553" s="40"/>
      <c r="AE553" s="207"/>
    </row>
    <row r="554" ht="15" customHeight="1" s="4" customFormat="1">
      <c r="A554" s="260" t="s">
        <v>197</v>
      </c>
      <c r="B554" s="4" t="s">
        <v>780</v>
      </c>
      <c r="G554" s="110"/>
      <c r="H554" s="110"/>
      <c r="I554" s="110"/>
      <c r="L554" s="207"/>
      <c r="N554" s="106"/>
      <c r="O554" s="296"/>
      <c r="P554" s="64"/>
      <c r="Z554" s="207"/>
      <c r="AB554" s="40"/>
      <c r="AE554" s="207"/>
    </row>
    <row r="555" ht="15" customHeight="1" s="4" customFormat="1">
      <c r="A555" s="40"/>
      <c r="B555" s="492" t="s">
        <v>781</v>
      </c>
      <c r="C555" s="126" t="s">
        <v>782</v>
      </c>
      <c r="D555" s="126"/>
      <c r="E555" s="299"/>
      <c r="F555" s="299"/>
      <c r="G555" s="110"/>
      <c r="J555" s="207"/>
      <c r="N555" s="106"/>
      <c r="O555" s="296"/>
      <c r="Z555" s="207"/>
      <c r="AB555" s="40"/>
      <c r="AE555" s="207"/>
    </row>
    <row r="556" ht="15" customHeight="1" s="4" customFormat="1">
      <c r="B556" s="492"/>
      <c r="C556" s="297" t="s">
        <v>783</v>
      </c>
      <c r="D556" s="127"/>
      <c r="E556" s="298"/>
      <c r="F556" s="298"/>
      <c r="G556" s="110"/>
      <c r="J556" s="207"/>
      <c r="N556" s="106"/>
      <c r="O556" s="296"/>
      <c r="Z556" s="207"/>
      <c r="AB556" s="207"/>
      <c r="AE556" s="207"/>
    </row>
    <row r="557" ht="15" customHeight="1" s="4" customFormat="1">
      <c r="B557" s="492" t="s">
        <v>784</v>
      </c>
      <c r="C557" s="126" t="s">
        <v>785</v>
      </c>
      <c r="D557" s="301"/>
      <c r="E557" s="539" t="s">
        <v>255</v>
      </c>
      <c r="F557" s="126" t="s">
        <v>782</v>
      </c>
      <c r="G557" s="126"/>
      <c r="H557" s="299"/>
      <c r="I557" s="299"/>
      <c r="J557" s="207"/>
      <c r="N557" s="106"/>
      <c r="O557" s="296"/>
      <c r="Z557" s="207"/>
      <c r="AB557" s="207"/>
      <c r="AE557" s="207"/>
    </row>
    <row r="558" ht="15" customHeight="1" s="4" customFormat="1">
      <c r="B558" s="492"/>
      <c r="C558" s="297" t="s">
        <v>786</v>
      </c>
      <c r="D558" s="298"/>
      <c r="E558" s="492"/>
      <c r="F558" s="297" t="s">
        <v>787</v>
      </c>
      <c r="G558" s="127"/>
      <c r="H558" s="298"/>
      <c r="I558" s="298"/>
      <c r="J558" s="207"/>
      <c r="N558" s="106"/>
      <c r="O558" s="296"/>
      <c r="Z558" s="207"/>
      <c r="AB558" s="207"/>
      <c r="AE558" s="207"/>
    </row>
    <row r="559" ht="15" customHeight="1" s="4" customFormat="1">
      <c r="B559" s="30"/>
      <c r="E559" s="110"/>
      <c r="F559" s="110"/>
      <c r="G559" s="110"/>
      <c r="J559" s="207"/>
      <c r="N559" s="106"/>
      <c r="O559" s="296"/>
      <c r="Z559" s="207"/>
      <c r="AB559" s="207"/>
      <c r="AE559" s="207"/>
    </row>
    <row r="560" ht="15" customHeight="1" s="4" customFormat="1">
      <c r="A560" s="260" t="s">
        <v>197</v>
      </c>
      <c r="B560" s="4" t="s">
        <v>788</v>
      </c>
      <c r="D560" s="30"/>
      <c r="G560" s="110"/>
      <c r="H560" s="110"/>
      <c r="I560" s="110"/>
      <c r="L560" s="207"/>
      <c r="N560" s="234" t="s">
        <v>789</v>
      </c>
      <c r="O560" s="296"/>
      <c r="P560" s="64"/>
      <c r="Z560" s="207"/>
      <c r="AB560" s="207"/>
      <c r="AE560" s="207"/>
    </row>
    <row r="561" ht="15" customHeight="1" s="4" customFormat="1">
      <c r="C561" s="4" t="s">
        <v>790</v>
      </c>
      <c r="D561" s="30"/>
      <c r="G561" s="110"/>
      <c r="H561" s="110"/>
      <c r="I561" s="110"/>
      <c r="L561" s="207"/>
      <c r="O561" s="307"/>
      <c r="AB561" s="207"/>
      <c r="AE561" s="207"/>
    </row>
    <row r="562" ht="15" customHeight="1" s="4" customFormat="1">
      <c r="D562" s="30"/>
      <c r="G562" s="110"/>
      <c r="H562" s="110"/>
      <c r="I562" s="110"/>
      <c r="L562" s="207"/>
      <c r="O562" s="307"/>
      <c r="AB562" s="207"/>
      <c r="AE562" s="207"/>
    </row>
    <row r="563" ht="15" customHeight="1" s="4" customFormat="1">
      <c r="C563" s="544" t="s">
        <v>791</v>
      </c>
      <c r="D563" s="545"/>
      <c r="E563" s="529" t="s">
        <v>792</v>
      </c>
      <c r="F563" s="530"/>
      <c r="G563" s="531" t="s">
        <v>793</v>
      </c>
      <c r="H563" s="530"/>
      <c r="I563" s="531" t="s">
        <v>790</v>
      </c>
      <c r="J563" s="532"/>
      <c r="L563" s="207"/>
      <c r="O563" s="307"/>
      <c r="AB563" s="207"/>
      <c r="AE563" s="207"/>
    </row>
    <row r="564" ht="15" customHeight="1" s="4" customFormat="1">
      <c r="C564" s="546"/>
      <c r="D564" s="547"/>
      <c r="E564" s="533" t="s">
        <v>794</v>
      </c>
      <c r="F564" s="534"/>
      <c r="G564" s="535" t="s">
        <v>795</v>
      </c>
      <c r="H564" s="536"/>
      <c r="I564" s="289"/>
      <c r="J564" s="290"/>
      <c r="L564" s="207"/>
      <c r="O564" s="307"/>
      <c r="AB564" s="207"/>
      <c r="AE564" s="207"/>
    </row>
    <row r="565" ht="15" customHeight="1" s="4" customFormat="1">
      <c r="C565" s="540" t="s">
        <v>796</v>
      </c>
      <c r="D565" s="541"/>
      <c r="E565" s="542">
        <f>INPUT!B3</f>
        <v>0</v>
      </c>
      <c r="F565" s="543"/>
      <c r="G565" s="548">
        <f>E565*0.6</f>
        <v>0</v>
      </c>
      <c r="H565" s="543"/>
      <c r="I565" s="549" t="e">
        <f>INPUT!B2/INPUT!B5</f>
        <v>#DIV/0!</v>
      </c>
      <c r="J565" s="550"/>
      <c r="L565" s="207"/>
      <c r="O565" s="307"/>
      <c r="P565" s="64"/>
      <c r="Z565" s="207"/>
      <c r="AB565" s="207"/>
      <c r="AE565" s="207"/>
    </row>
    <row r="566" ht="15" customHeight="1" s="4" customFormat="1">
      <c r="C566" s="551" t="s">
        <v>797</v>
      </c>
      <c r="D566" s="552"/>
      <c r="E566" s="553">
        <f>INPUT!B4</f>
        <v>0</v>
      </c>
      <c r="F566" s="554"/>
      <c r="G566" s="555">
        <f>E566*0.6</f>
        <v>0</v>
      </c>
      <c r="H566" s="554"/>
      <c r="I566" s="556" t="e">
        <f>INPUT!B2/INPUT!B6</f>
        <v>#DIV/0!</v>
      </c>
      <c r="J566" s="557"/>
      <c r="L566" s="207"/>
      <c r="O566" s="307"/>
      <c r="P566" s="64"/>
      <c r="Z566" s="207"/>
      <c r="AB566" s="207"/>
      <c r="AE566" s="207"/>
    </row>
    <row r="567" ht="15" customHeight="1" s="4" customFormat="1">
      <c r="D567" s="30"/>
      <c r="G567" s="110"/>
      <c r="H567" s="110"/>
      <c r="I567" s="110"/>
      <c r="L567" s="207"/>
      <c r="O567" s="307"/>
      <c r="P567" s="64"/>
      <c r="Z567" s="207"/>
      <c r="AB567" s="207"/>
      <c r="AE567" s="207"/>
    </row>
    <row r="568" ht="15" customHeight="1" s="4" customFormat="1">
      <c r="A568" s="59" t="s">
        <v>798</v>
      </c>
      <c r="D568" s="30"/>
      <c r="G568" s="110"/>
      <c r="H568" s="110"/>
      <c r="I568" s="110"/>
      <c r="L568" s="207"/>
      <c r="O568" s="307"/>
      <c r="P568" s="64"/>
      <c r="Z568" s="207"/>
      <c r="AB568" s="207"/>
      <c r="AE568" s="207"/>
    </row>
    <row r="569" ht="15" customHeight="1" s="4" customFormat="1">
      <c r="A569" s="273" t="s">
        <v>230</v>
      </c>
      <c r="B569" s="494" t="s">
        <v>799</v>
      </c>
      <c r="C569" s="498"/>
      <c r="D569" s="498"/>
      <c r="E569" s="498"/>
      <c r="F569" s="495"/>
      <c r="G569" s="494" t="s">
        <v>800</v>
      </c>
      <c r="H569" s="498"/>
      <c r="I569" s="495"/>
      <c r="J569" s="494" t="s">
        <v>801</v>
      </c>
      <c r="K569" s="495"/>
      <c r="L569" s="494" t="s">
        <v>246</v>
      </c>
      <c r="M569" s="537"/>
      <c r="O569" s="308"/>
      <c r="P569" s="64"/>
      <c r="R569" s="207"/>
    </row>
    <row r="570" ht="15" customHeight="1" s="4" customFormat="1">
      <c r="A570" s="276"/>
      <c r="B570" s="277" t="s">
        <v>802</v>
      </c>
      <c r="C570" s="277" t="s">
        <v>803</v>
      </c>
      <c r="D570" s="277" t="s">
        <v>804</v>
      </c>
      <c r="E570" s="277" t="s">
        <v>805</v>
      </c>
      <c r="F570" s="277" t="s">
        <v>806</v>
      </c>
      <c r="G570" s="277" t="s">
        <v>807</v>
      </c>
      <c r="H570" s="277" t="s">
        <v>808</v>
      </c>
      <c r="I570" s="277" t="s">
        <v>809</v>
      </c>
      <c r="J570" s="277" t="s">
        <v>810</v>
      </c>
      <c r="K570" s="277" t="s">
        <v>811</v>
      </c>
      <c r="L570" s="357" t="s">
        <v>812</v>
      </c>
      <c r="M570" s="392" t="s">
        <v>813</v>
      </c>
      <c r="O570" s="296"/>
      <c r="P570" s="64"/>
      <c r="R570" s="371"/>
    </row>
    <row r="571" ht="15" customHeight="1">
      <c r="A571" s="187">
        <f>A474</f>
        <v>101</v>
      </c>
      <c r="B571" s="191">
        <f>1.25*INPUT!BG3</f>
        <v>-43.387905153649626</v>
      </c>
      <c r="C571" s="191">
        <f>1.25*INPUT!BM3</f>
        <v>-20.515606752742315</v>
      </c>
      <c r="D571" s="191">
        <f>1.5*INPUT!BN3</f>
        <v>-13.498505934709101</v>
      </c>
      <c r="E571" s="191">
        <f>1.8*INPUT!BO3</f>
        <v>0.36245309166242806</v>
      </c>
      <c r="F571" s="191">
        <f>1.8*INPUT!BP3</f>
        <v>-0.13965229726090911</v>
      </c>
      <c r="G571" s="174">
        <f>INPUT!BY3</f>
        <v>103198490.90631922</v>
      </c>
      <c r="H571" s="174">
        <f>INPUT!BZ3</f>
        <v>110801218.3096953</v>
      </c>
      <c r="I571" s="174">
        <f>INPUT!CA3</f>
        <v>546882264.39991891</v>
      </c>
      <c r="J571" s="192" t="str">
        <f>IF(B474="Positive",(C571+D571+F571)/I571/$I$565*10^6,"-")</f>
        <v>-</v>
      </c>
      <c r="K571" s="192" t="str">
        <f>IF(OR(B474="Positive",INPUT!Q3=0),"-",-B571/G571/$I$566*10^6+(-C571-D571-E571)/H571/$I$566*10^6)</f>
        <v>-</v>
      </c>
      <c r="L571" s="201" t="str">
        <f>IF(B474="Positive",IF(J571&lt;=$G$565,"OK","NG"),"-")</f>
        <v>-</v>
      </c>
      <c r="M571" s="391" t="str">
        <f>IF(OR(B474="Positive",INPUT!Q3=0),"-",IF(K571&lt;=$G$566,"OK","NG"))</f>
        <v>-</v>
      </c>
      <c r="N571" s="4"/>
      <c r="Q571" s="4"/>
      <c r="R571" s="371"/>
    </row>
    <row r="572">
      <c r="A572" s="187">
        <f>A475</f>
        <v>101</v>
      </c>
      <c r="B572" s="191">
        <f>1.25*INPUT!BG4</f>
        <v>-43.387905153649626</v>
      </c>
      <c r="C572" s="191">
        <f>1.25*INPUT!BM4</f>
        <v>-20.515606752742315</v>
      </c>
      <c r="D572" s="191">
        <f>1.5*INPUT!BN4</f>
        <v>-13.498505934709101</v>
      </c>
      <c r="E572" s="191">
        <f>1.8*INPUT!BO4</f>
        <v>0.36245309166242806</v>
      </c>
      <c r="F572" s="191">
        <f>1.8*INPUT!BP4</f>
        <v>-0.13965229726090911</v>
      </c>
      <c r="G572" s="174">
        <f>INPUT!BY4</f>
        <v>103198490.90631922</v>
      </c>
      <c r="H572" s="174">
        <f>INPUT!BZ4</f>
        <v>110801218.3096953</v>
      </c>
      <c r="I572" s="174">
        <f>INPUT!CA4</f>
        <v>546882264.39991891</v>
      </c>
      <c r="J572" s="192" t="str">
        <f>IF(B475="Positive",(C572+D572+F572)/I572/$I$565*10^6,"-")</f>
        <v>-</v>
      </c>
      <c r="K572" s="192" t="str">
        <f>IF(OR(B475="Positive",INPUT!Q4=0),"-",-B572/G572/$I$566*10^6+(-C572-D572-E572)/H572/$I$566*10^6)</f>
        <v>-</v>
      </c>
      <c r="L572" s="201" t="str">
        <f>IF(B475="Positive",IF(J572&lt;=$G$565,"OK","NG"),"-")</f>
        <v>-</v>
      </c>
      <c r="M572" s="391" t="str">
        <f>IF(OR(B475="Positive",INPUT!Q4=0),"-",IF(K572&lt;=$G$566,"OK","NG"))</f>
        <v>-</v>
      </c>
      <c r="N572" s="4"/>
      <c r="Q572" s="4"/>
      <c r="R572" s="371"/>
    </row>
    <row r="573">
      <c r="A573" s="187">
        <f>A476</f>
        <v>101</v>
      </c>
      <c r="B573" s="191">
        <f>1.25*INPUT!BG5</f>
        <v>-43.387905153649626</v>
      </c>
      <c r="C573" s="191">
        <f>1.25*INPUT!BM5</f>
        <v>-20.515606752742315</v>
      </c>
      <c r="D573" s="191">
        <f>1.5*INPUT!BN5</f>
        <v>-13.498505934709101</v>
      </c>
      <c r="E573" s="191">
        <f>1.8*INPUT!BO5</f>
        <v>0.36245309166242806</v>
      </c>
      <c r="F573" s="191">
        <f>1.8*INPUT!BP5</f>
        <v>-0.13965229726090911</v>
      </c>
      <c r="G573" s="174">
        <f>INPUT!BY5</f>
        <v>103198490.90631922</v>
      </c>
      <c r="H573" s="174">
        <f>INPUT!BZ5</f>
        <v>110801218.3096953</v>
      </c>
      <c r="I573" s="174">
        <f>INPUT!CA5</f>
        <v>546882264.39991891</v>
      </c>
      <c r="J573" s="192" t="str">
        <f>IF(B476="Positive",(C573+D573+F573)/I573/$I$565*10^6,"-")</f>
        <v>-</v>
      </c>
      <c r="K573" s="192" t="str">
        <f>IF(OR(B476="Positive",INPUT!Q5=0),"-",-B573/G573/$I$566*10^6+(-C573-D573-E573)/H573/$I$566*10^6)</f>
        <v>-</v>
      </c>
      <c r="L573" s="201" t="str">
        <f>IF(B476="Positive",IF(J573&lt;=$G$565,"OK","NG"),"-")</f>
        <v>-</v>
      </c>
      <c r="M573" s="391" t="str">
        <f>IF(OR(B476="Positive",INPUT!Q5=0),"-",IF(K573&lt;=$G$566,"OK","NG"))</f>
        <v>-</v>
      </c>
      <c r="N573" s="4"/>
      <c r="Q573" s="4"/>
      <c r="R573" s="371"/>
    </row>
    <row r="574">
      <c r="A574" s="187">
        <f>A477</f>
        <v>101</v>
      </c>
      <c r="B574" s="191">
        <f>1.25*INPUT!BG6</f>
        <v>-43.387905153649626</v>
      </c>
      <c r="C574" s="191">
        <f>1.25*INPUT!BM6</f>
        <v>-20.515606752742315</v>
      </c>
      <c r="D574" s="191">
        <f>1.5*INPUT!BN6</f>
        <v>-13.498505934709101</v>
      </c>
      <c r="E574" s="191">
        <f>1.8*INPUT!BO6</f>
        <v>0.36245309166242806</v>
      </c>
      <c r="F574" s="191">
        <f>1.8*INPUT!BP6</f>
        <v>-0.13965229726090911</v>
      </c>
      <c r="G574" s="174">
        <f>INPUT!BY6</f>
        <v>103198490.90631922</v>
      </c>
      <c r="H574" s="174">
        <f>INPUT!BZ6</f>
        <v>110801218.3096953</v>
      </c>
      <c r="I574" s="174">
        <f>INPUT!CA6</f>
        <v>546882264.39991891</v>
      </c>
      <c r="J574" s="192" t="str">
        <f>IF(B477="Positive",(C574+D574+F574)/I574/$I$565*10^6,"-")</f>
        <v>-</v>
      </c>
      <c r="K574" s="192" t="str">
        <f>IF(OR(B477="Positive",INPUT!Q6=0),"-",-B574/G574/$I$566*10^6+(-C574-D574-E574)/H574/$I$566*10^6)</f>
        <v>-</v>
      </c>
      <c r="L574" s="201" t="str">
        <f>IF(B477="Positive",IF(J574&lt;=$G$565,"OK","NG"),"-")</f>
        <v>-</v>
      </c>
      <c r="M574" s="391" t="str">
        <f>IF(OR(B477="Positive",INPUT!Q6=0),"-",IF(K574&lt;=$G$566,"OK","NG"))</f>
        <v>-</v>
      </c>
      <c r="N574" s="4"/>
      <c r="Q574" s="4"/>
      <c r="R574" s="371"/>
    </row>
    <row r="575">
      <c r="A575" s="187">
        <f>A478</f>
        <v>101</v>
      </c>
      <c r="B575" s="191">
        <f>1.25*INPUT!BG7</f>
        <v>-43.387905153649626</v>
      </c>
      <c r="C575" s="191">
        <f>1.25*INPUT!BM7</f>
        <v>-20.515606752742315</v>
      </c>
      <c r="D575" s="191">
        <f>1.5*INPUT!BN7</f>
        <v>-13.498505934709101</v>
      </c>
      <c r="E575" s="191">
        <f>1.8*INPUT!BO7</f>
        <v>0.36245309166242806</v>
      </c>
      <c r="F575" s="191">
        <f>1.8*INPUT!BP7</f>
        <v>-0.13965229726090911</v>
      </c>
      <c r="G575" s="174">
        <f>INPUT!BY7</f>
        <v>103198490.90631922</v>
      </c>
      <c r="H575" s="174">
        <f>INPUT!BZ7</f>
        <v>110801218.3096953</v>
      </c>
      <c r="I575" s="174">
        <f>INPUT!CA7</f>
        <v>546882264.39991891</v>
      </c>
      <c r="J575" s="192" t="str">
        <f>IF(B478="Positive",(C575+D575+F575)/I575/$I$565*10^6,"-")</f>
        <v>-</v>
      </c>
      <c r="K575" s="192" t="str">
        <f>IF(OR(B478="Positive",INPUT!Q7=0),"-",-B575/G575/$I$566*10^6+(-C575-D575-E575)/H575/$I$566*10^6)</f>
        <v>-</v>
      </c>
      <c r="L575" s="201" t="str">
        <f>IF(B478="Positive",IF(J575&lt;=$G$565,"OK","NG"),"-")</f>
        <v>-</v>
      </c>
      <c r="M575" s="391" t="str">
        <f>IF(OR(B478="Positive",INPUT!Q7=0),"-",IF(K575&lt;=$G$566,"OK","NG"))</f>
        <v>-</v>
      </c>
      <c r="N575" s="4"/>
      <c r="Q575" s="4"/>
      <c r="R575" s="371"/>
    </row>
    <row r="576">
      <c r="A576" s="187">
        <f>A479</f>
        <v>101</v>
      </c>
      <c r="B576" s="191">
        <f>1.25*INPUT!BG8</f>
        <v>-43.387905153649626</v>
      </c>
      <c r="C576" s="191">
        <f>1.25*INPUT!BM8</f>
        <v>-20.515606752742315</v>
      </c>
      <c r="D576" s="191">
        <f>1.5*INPUT!BN8</f>
        <v>-13.498505934709101</v>
      </c>
      <c r="E576" s="191">
        <f>1.8*INPUT!BO8</f>
        <v>0.36245309166242806</v>
      </c>
      <c r="F576" s="191">
        <f>1.8*INPUT!BP8</f>
        <v>-0.13965229726090911</v>
      </c>
      <c r="G576" s="174">
        <f>INPUT!BY8</f>
        <v>103198490.90631922</v>
      </c>
      <c r="H576" s="174">
        <f>INPUT!BZ8</f>
        <v>110801218.3096953</v>
      </c>
      <c r="I576" s="174">
        <f>INPUT!CA8</f>
        <v>546882264.39991891</v>
      </c>
      <c r="J576" s="192" t="str">
        <f>IF(B479="Positive",(C576+D576+F576)/I576/$I$565*10^6,"-")</f>
        <v>-</v>
      </c>
      <c r="K576" s="192" t="str">
        <f>IF(OR(B479="Positive",INPUT!Q8=0),"-",-B576/G576/$I$566*10^6+(-C576-D576-E576)/H576/$I$566*10^6)</f>
        <v>-</v>
      </c>
      <c r="L576" s="201" t="str">
        <f>IF(B479="Positive",IF(J576&lt;=$G$565,"OK","NG"),"-")</f>
        <v>-</v>
      </c>
      <c r="M576" s="391" t="str">
        <f>IF(OR(B479="Positive",INPUT!Q8=0),"-",IF(K576&lt;=$G$566,"OK","NG"))</f>
        <v>-</v>
      </c>
      <c r="N576" s="4"/>
      <c r="Q576" s="4"/>
      <c r="R576" s="371"/>
    </row>
    <row r="577">
      <c r="A577" s="187">
        <f>A480</f>
        <v>101</v>
      </c>
      <c r="B577" s="191">
        <f>1.25*INPUT!BG9</f>
        <v>-43.387905153649626</v>
      </c>
      <c r="C577" s="191">
        <f>1.25*INPUT!BM9</f>
        <v>-20.515606752742315</v>
      </c>
      <c r="D577" s="191">
        <f>1.5*INPUT!BN9</f>
        <v>-13.498505934709101</v>
      </c>
      <c r="E577" s="191">
        <f>1.8*INPUT!BO9</f>
        <v>0.36245309166242806</v>
      </c>
      <c r="F577" s="191">
        <f>1.8*INPUT!BP9</f>
        <v>-0.13965229726090911</v>
      </c>
      <c r="G577" s="174">
        <f>INPUT!BY9</f>
        <v>103198490.90631922</v>
      </c>
      <c r="H577" s="174">
        <f>INPUT!BZ9</f>
        <v>110801218.3096953</v>
      </c>
      <c r="I577" s="174">
        <f>INPUT!CA9</f>
        <v>546882264.39991891</v>
      </c>
      <c r="J577" s="192" t="str">
        <f>IF(B480="Positive",(C577+D577+F577)/I577/$I$565*10^6,"-")</f>
        <v>-</v>
      </c>
      <c r="K577" s="192" t="str">
        <f>IF(OR(B480="Positive",INPUT!Q9=0),"-",-B577/G577/$I$566*10^6+(-C577-D577-E577)/H577/$I$566*10^6)</f>
        <v>-</v>
      </c>
      <c r="L577" s="201" t="str">
        <f>IF(B480="Positive",IF(J577&lt;=$G$565,"OK","NG"),"-")</f>
        <v>-</v>
      </c>
      <c r="M577" s="391" t="str">
        <f>IF(OR(B480="Positive",INPUT!Q9=0),"-",IF(K577&lt;=$G$566,"OK","NG"))</f>
        <v>-</v>
      </c>
      <c r="N577" s="4"/>
      <c r="Q577" s="4"/>
      <c r="R577" s="371"/>
    </row>
    <row r="578">
      <c r="A578" s="187">
        <f>A481</f>
        <v>101</v>
      </c>
      <c r="B578" s="191">
        <f>1.25*INPUT!BG10</f>
        <v>-43.387905153649626</v>
      </c>
      <c r="C578" s="191">
        <f>1.25*INPUT!BM10</f>
        <v>-20.515606752742315</v>
      </c>
      <c r="D578" s="191">
        <f>1.5*INPUT!BN10</f>
        <v>-13.498505934709101</v>
      </c>
      <c r="E578" s="191">
        <f>1.8*INPUT!BO10</f>
        <v>0.36245309166242806</v>
      </c>
      <c r="F578" s="191">
        <f>1.8*INPUT!BP10</f>
        <v>-0.13965229726090911</v>
      </c>
      <c r="G578" s="174">
        <f>INPUT!BY10</f>
        <v>103198490.90631922</v>
      </c>
      <c r="H578" s="174">
        <f>INPUT!BZ10</f>
        <v>110801218.3096953</v>
      </c>
      <c r="I578" s="174">
        <f>INPUT!CA10</f>
        <v>546882264.39991891</v>
      </c>
      <c r="J578" s="192" t="str">
        <f>IF(B481="Positive",(C578+D578+F578)/I578/$I$565*10^6,"-")</f>
        <v>-</v>
      </c>
      <c r="K578" s="192" t="str">
        <f>IF(OR(B481="Positive",INPUT!Q10=0),"-",-B578/G578/$I$566*10^6+(-C578-D578-E578)/H578/$I$566*10^6)</f>
        <v>-</v>
      </c>
      <c r="L578" s="201" t="str">
        <f>IF(B481="Positive",IF(J578&lt;=$G$565,"OK","NG"),"-")</f>
        <v>-</v>
      </c>
      <c r="M578" s="391" t="str">
        <f>IF(OR(B481="Positive",INPUT!Q10=0),"-",IF(K578&lt;=$G$566,"OK","NG"))</f>
        <v>-</v>
      </c>
      <c r="N578" s="4"/>
      <c r="Q578" s="4"/>
      <c r="R578" s="371"/>
    </row>
    <row r="579">
      <c r="A579" s="187">
        <f>A482</f>
        <v>101</v>
      </c>
      <c r="B579" s="191">
        <f>1.25*INPUT!BG11</f>
        <v>-43.387905153649626</v>
      </c>
      <c r="C579" s="191">
        <f>1.25*INPUT!BM11</f>
        <v>-20.515606752742315</v>
      </c>
      <c r="D579" s="191">
        <f>1.5*INPUT!BN11</f>
        <v>-13.498505934709101</v>
      </c>
      <c r="E579" s="191">
        <f>1.8*INPUT!BO11</f>
        <v>0.36245309166242806</v>
      </c>
      <c r="F579" s="191">
        <f>1.8*INPUT!BP11</f>
        <v>-0.13965229726090911</v>
      </c>
      <c r="G579" s="174">
        <f>INPUT!BY11</f>
        <v>103198490.90631922</v>
      </c>
      <c r="H579" s="174">
        <f>INPUT!BZ11</f>
        <v>110801218.3096953</v>
      </c>
      <c r="I579" s="174">
        <f>INPUT!CA11</f>
        <v>546882264.39991891</v>
      </c>
      <c r="J579" s="192" t="str">
        <f>IF(B482="Positive",(C579+D579+F579)/I579/$I$565*10^6,"-")</f>
        <v>-</v>
      </c>
      <c r="K579" s="192" t="str">
        <f>IF(OR(B482="Positive",INPUT!Q11=0),"-",-B579/G579/$I$566*10^6+(-C579-D579-E579)/H579/$I$566*10^6)</f>
        <v>-</v>
      </c>
      <c r="L579" s="201" t="str">
        <f>IF(B482="Positive",IF(J579&lt;=$G$565,"OK","NG"),"-")</f>
        <v>-</v>
      </c>
      <c r="M579" s="391" t="str">
        <f>IF(OR(B482="Positive",INPUT!Q11=0),"-",IF(K579&lt;=$G$566,"OK","NG"))</f>
        <v>-</v>
      </c>
      <c r="N579" s="4"/>
      <c r="Q579" s="4"/>
      <c r="R579" s="371"/>
    </row>
    <row r="580">
      <c r="A580" s="187">
        <f>A483</f>
        <v>101</v>
      </c>
      <c r="B580" s="191">
        <f>1.25*INPUT!BG12</f>
        <v>-43.387905153649626</v>
      </c>
      <c r="C580" s="191">
        <f>1.25*INPUT!BM12</f>
        <v>-20.515606752742315</v>
      </c>
      <c r="D580" s="191">
        <f>1.5*INPUT!BN12</f>
        <v>-13.498505934709101</v>
      </c>
      <c r="E580" s="191">
        <f>1.8*INPUT!BO12</f>
        <v>0.36245309166242806</v>
      </c>
      <c r="F580" s="191">
        <f>1.8*INPUT!BP12</f>
        <v>-0.13965229726090911</v>
      </c>
      <c r="G580" s="174">
        <f>INPUT!BY12</f>
        <v>103198490.90631922</v>
      </c>
      <c r="H580" s="174">
        <f>INPUT!BZ12</f>
        <v>110801218.3096953</v>
      </c>
      <c r="I580" s="174">
        <f>INPUT!CA12</f>
        <v>546882264.39991891</v>
      </c>
      <c r="J580" s="192" t="str">
        <f>IF(B483="Positive",(C580+D580+F580)/I580/$I$565*10^6,"-")</f>
        <v>-</v>
      </c>
      <c r="K580" s="192" t="str">
        <f>IF(OR(B483="Positive",INPUT!Q12=0),"-",-B580/G580/$I$566*10^6+(-C580-D580-E580)/H580/$I$566*10^6)</f>
        <v>-</v>
      </c>
      <c r="L580" s="201" t="str">
        <f>IF(B483="Positive",IF(J580&lt;=$G$565,"OK","NG"),"-")</f>
        <v>-</v>
      </c>
      <c r="M580" s="391" t="str">
        <f>IF(OR(B483="Positive",INPUT!Q12=0),"-",IF(K580&lt;=$G$566,"OK","NG"))</f>
        <v>-</v>
      </c>
      <c r="N580" s="4"/>
      <c r="Q580" s="4"/>
      <c r="R580" s="371"/>
    </row>
    <row r="581">
      <c r="A581" s="187">
        <f>A484</f>
        <v>101</v>
      </c>
      <c r="B581" s="191">
        <f>1.25*INPUT!BG13</f>
        <v>-43.387905153649626</v>
      </c>
      <c r="C581" s="191">
        <f>1.25*INPUT!BM13</f>
        <v>-20.515606752742315</v>
      </c>
      <c r="D581" s="191">
        <f>1.5*INPUT!BN13</f>
        <v>-13.498505934709101</v>
      </c>
      <c r="E581" s="191">
        <f>1.8*INPUT!BO13</f>
        <v>0.36245309166242806</v>
      </c>
      <c r="F581" s="191">
        <f>1.8*INPUT!BP13</f>
        <v>-0.13965229726090911</v>
      </c>
      <c r="G581" s="174">
        <f>INPUT!BY13</f>
        <v>103198490.90631922</v>
      </c>
      <c r="H581" s="174">
        <f>INPUT!BZ13</f>
        <v>110801218.3096953</v>
      </c>
      <c r="I581" s="174">
        <f>INPUT!CA13</f>
        <v>546882264.39991891</v>
      </c>
      <c r="J581" s="192" t="str">
        <f>IF(B484="Positive",(C581+D581+F581)/I581/$I$565*10^6,"-")</f>
        <v>-</v>
      </c>
      <c r="K581" s="192" t="str">
        <f>IF(OR(B484="Positive",INPUT!Q13=0),"-",-B581/G581/$I$566*10^6+(-C581-D581-E581)/H581/$I$566*10^6)</f>
        <v>-</v>
      </c>
      <c r="L581" s="201" t="str">
        <f>IF(B484="Positive",IF(J581&lt;=$G$565,"OK","NG"),"-")</f>
        <v>-</v>
      </c>
      <c r="M581" s="391" t="str">
        <f>IF(OR(B484="Positive",INPUT!Q13=0),"-",IF(K581&lt;=$G$566,"OK","NG"))</f>
        <v>-</v>
      </c>
      <c r="N581" s="4"/>
      <c r="Q581" s="4"/>
      <c r="R581" s="371"/>
    </row>
    <row r="582">
      <c r="A582" s="187">
        <f>A485</f>
        <v>101</v>
      </c>
      <c r="B582" s="191">
        <f>1.25*INPUT!BG14</f>
        <v>-43.387905153649626</v>
      </c>
      <c r="C582" s="191">
        <f>1.25*INPUT!BM14</f>
        <v>-20.515606752742315</v>
      </c>
      <c r="D582" s="191">
        <f>1.5*INPUT!BN14</f>
        <v>-13.498505934709101</v>
      </c>
      <c r="E582" s="191">
        <f>1.8*INPUT!BO14</f>
        <v>0.36245309166242806</v>
      </c>
      <c r="F582" s="191">
        <f>1.8*INPUT!BP14</f>
        <v>-0.13965229726090911</v>
      </c>
      <c r="G582" s="174">
        <f>INPUT!BY14</f>
        <v>103198490.90631922</v>
      </c>
      <c r="H582" s="174">
        <f>INPUT!BZ14</f>
        <v>110801218.3096953</v>
      </c>
      <c r="I582" s="174">
        <f>INPUT!CA14</f>
        <v>546882264.39991891</v>
      </c>
      <c r="J582" s="192" t="str">
        <f>IF(B485="Positive",(C582+D582+F582)/I582/$I$565*10^6,"-")</f>
        <v>-</v>
      </c>
      <c r="K582" s="192" t="str">
        <f>IF(OR(B485="Positive",INPUT!Q14=0),"-",-B582/G582/$I$566*10^6+(-C582-D582-E582)/H582/$I$566*10^6)</f>
        <v>-</v>
      </c>
      <c r="L582" s="201" t="str">
        <f>IF(B485="Positive",IF(J582&lt;=$G$565,"OK","NG"),"-")</f>
        <v>-</v>
      </c>
      <c r="M582" s="391" t="str">
        <f>IF(OR(B485="Positive",INPUT!Q14=0),"-",IF(K582&lt;=$G$566,"OK","NG"))</f>
        <v>-</v>
      </c>
      <c r="N582" s="4"/>
      <c r="Q582" s="4"/>
      <c r="R582" s="371"/>
    </row>
    <row r="583">
      <c r="A583" s="187">
        <f>A486</f>
        <v>101</v>
      </c>
      <c r="B583" s="191">
        <f>1.25*INPUT!BG15</f>
        <v>-43.387905153649626</v>
      </c>
      <c r="C583" s="191">
        <f>1.25*INPUT!BM15</f>
        <v>-20.515606752742315</v>
      </c>
      <c r="D583" s="191">
        <f>1.5*INPUT!BN15</f>
        <v>-13.498505934709101</v>
      </c>
      <c r="E583" s="191">
        <f>1.8*INPUT!BO15</f>
        <v>0.36245309166242806</v>
      </c>
      <c r="F583" s="191">
        <f>1.8*INPUT!BP15</f>
        <v>-0.13965229726090911</v>
      </c>
      <c r="G583" s="174">
        <f>INPUT!BY15</f>
        <v>103198490.90631922</v>
      </c>
      <c r="H583" s="174">
        <f>INPUT!BZ15</f>
        <v>110801218.3096953</v>
      </c>
      <c r="I583" s="174">
        <f>INPUT!CA15</f>
        <v>546882264.39991891</v>
      </c>
      <c r="J583" s="192" t="str">
        <f>IF(B486="Positive",(C583+D583+F583)/I583/$I$565*10^6,"-")</f>
        <v>-</v>
      </c>
      <c r="K583" s="192" t="str">
        <f>IF(OR(B486="Positive",INPUT!Q15=0),"-",-B583/G583/$I$566*10^6+(-C583-D583-E583)/H583/$I$566*10^6)</f>
        <v>-</v>
      </c>
      <c r="L583" s="201" t="str">
        <f>IF(B486="Positive",IF(J583&lt;=$G$565,"OK","NG"),"-")</f>
        <v>-</v>
      </c>
      <c r="M583" s="391" t="str">
        <f>IF(OR(B486="Positive",INPUT!Q15=0),"-",IF(K583&lt;=$G$566,"OK","NG"))</f>
        <v>-</v>
      </c>
      <c r="N583" s="4"/>
      <c r="Q583" s="4"/>
      <c r="R583" s="371"/>
    </row>
    <row r="584">
      <c r="A584" s="187">
        <f>A487</f>
        <v>101</v>
      </c>
      <c r="B584" s="191">
        <f>1.25*INPUT!BG16</f>
        <v>-43.387905153649626</v>
      </c>
      <c r="C584" s="191">
        <f>1.25*INPUT!BM16</f>
        <v>-20.515606752742315</v>
      </c>
      <c r="D584" s="191">
        <f>1.5*INPUT!BN16</f>
        <v>-13.498505934709101</v>
      </c>
      <c r="E584" s="191">
        <f>1.8*INPUT!BO16</f>
        <v>0.36245309166242806</v>
      </c>
      <c r="F584" s="191">
        <f>1.8*INPUT!BP16</f>
        <v>-0.13965229726090911</v>
      </c>
      <c r="G584" s="174">
        <f>INPUT!BY16</f>
        <v>103198490.90631922</v>
      </c>
      <c r="H584" s="174">
        <f>INPUT!BZ16</f>
        <v>110801218.3096953</v>
      </c>
      <c r="I584" s="174">
        <f>INPUT!CA16</f>
        <v>546882264.39991891</v>
      </c>
      <c r="J584" s="192" t="str">
        <f>IF(B487="Positive",(C584+D584+F584)/I584/$I$565*10^6,"-")</f>
        <v>-</v>
      </c>
      <c r="K584" s="192" t="str">
        <f>IF(OR(B487="Positive",INPUT!Q16=0),"-",-B584/G584/$I$566*10^6+(-C584-D584-E584)/H584/$I$566*10^6)</f>
        <v>-</v>
      </c>
      <c r="L584" s="201" t="str">
        <f>IF(B487="Positive",IF(J584&lt;=$G$565,"OK","NG"),"-")</f>
        <v>-</v>
      </c>
      <c r="M584" s="391" t="str">
        <f>IF(OR(B487="Positive",INPUT!Q16=0),"-",IF(K584&lt;=$G$566,"OK","NG"))</f>
        <v>-</v>
      </c>
      <c r="N584" s="4"/>
      <c r="Q584" s="4"/>
      <c r="R584" s="371"/>
    </row>
    <row r="585">
      <c r="A585" s="187">
        <f>A488</f>
        <v>101</v>
      </c>
      <c r="B585" s="191">
        <f>1.25*INPUT!BG17</f>
        <v>-43.387905153649626</v>
      </c>
      <c r="C585" s="191">
        <f>1.25*INPUT!BM17</f>
        <v>-20.515606752742315</v>
      </c>
      <c r="D585" s="191">
        <f>1.5*INPUT!BN17</f>
        <v>-13.498505934709101</v>
      </c>
      <c r="E585" s="191">
        <f>1.8*INPUT!BO17</f>
        <v>0.36245309166242806</v>
      </c>
      <c r="F585" s="191">
        <f>1.8*INPUT!BP17</f>
        <v>-0.13965229726090911</v>
      </c>
      <c r="G585" s="174">
        <f>INPUT!BY17</f>
        <v>103198490.90631922</v>
      </c>
      <c r="H585" s="174">
        <f>INPUT!BZ17</f>
        <v>110801218.3096953</v>
      </c>
      <c r="I585" s="174">
        <f>INPUT!CA17</f>
        <v>546882264.39991891</v>
      </c>
      <c r="J585" s="192" t="str">
        <f>IF(B488="Positive",(C585+D585+F585)/I585/$I$565*10^6,"-")</f>
        <v>-</v>
      </c>
      <c r="K585" s="192" t="str">
        <f>IF(OR(B488="Positive",INPUT!Q17=0),"-",-B585/G585/$I$566*10^6+(-C585-D585-E585)/H585/$I$566*10^6)</f>
        <v>-</v>
      </c>
      <c r="L585" s="201" t="str">
        <f>IF(B488="Positive",IF(J585&lt;=$G$565,"OK","NG"),"-")</f>
        <v>-</v>
      </c>
      <c r="M585" s="391" t="str">
        <f>IF(OR(B488="Positive",INPUT!Q17=0),"-",IF(K585&lt;=$G$566,"OK","NG"))</f>
        <v>-</v>
      </c>
      <c r="N585" s="4"/>
      <c r="Q585" s="4"/>
      <c r="R585" s="371"/>
    </row>
    <row r="586">
      <c r="A586" s="187">
        <f>A489</f>
        <v>101</v>
      </c>
      <c r="B586" s="191">
        <f>1.25*INPUT!BG18</f>
        <v>-43.387905153649626</v>
      </c>
      <c r="C586" s="191">
        <f>1.25*INPUT!BM18</f>
        <v>-20.515606752742315</v>
      </c>
      <c r="D586" s="191">
        <f>1.5*INPUT!BN18</f>
        <v>-13.498505934709101</v>
      </c>
      <c r="E586" s="191">
        <f>1.8*INPUT!BO18</f>
        <v>0.36245309166242806</v>
      </c>
      <c r="F586" s="191">
        <f>1.8*INPUT!BP18</f>
        <v>-0.13965229726090911</v>
      </c>
      <c r="G586" s="174">
        <f>INPUT!BY18</f>
        <v>103198490.90631922</v>
      </c>
      <c r="H586" s="174">
        <f>INPUT!BZ18</f>
        <v>110801218.3096953</v>
      </c>
      <c r="I586" s="174">
        <f>INPUT!CA18</f>
        <v>546882264.39991891</v>
      </c>
      <c r="J586" s="192" t="str">
        <f>IF(B489="Positive",(C586+D586+F586)/I586/$I$565*10^6,"-")</f>
        <v>-</v>
      </c>
      <c r="K586" s="192" t="str">
        <f>IF(OR(B489="Positive",INPUT!Q18=0),"-",-B586/G586/$I$566*10^6+(-C586-D586-E586)/H586/$I$566*10^6)</f>
        <v>-</v>
      </c>
      <c r="L586" s="201" t="str">
        <f>IF(B489="Positive",IF(J586&lt;=$G$565,"OK","NG"),"-")</f>
        <v>-</v>
      </c>
      <c r="M586" s="391" t="str">
        <f>IF(OR(B489="Positive",INPUT!Q18=0),"-",IF(K586&lt;=$G$566,"OK","NG"))</f>
        <v>-</v>
      </c>
      <c r="N586" s="4"/>
      <c r="Q586" s="4"/>
      <c r="R586" s="371"/>
    </row>
    <row r="587">
      <c r="A587" s="187">
        <f>A490</f>
        <v>101</v>
      </c>
      <c r="B587" s="191">
        <f>1.25*INPUT!BG19</f>
        <v>-43.387905153649626</v>
      </c>
      <c r="C587" s="191">
        <f>1.25*INPUT!BM19</f>
        <v>-20.515606752742315</v>
      </c>
      <c r="D587" s="191">
        <f>1.5*INPUT!BN19</f>
        <v>-13.498505934709101</v>
      </c>
      <c r="E587" s="191">
        <f>1.8*INPUT!BO19</f>
        <v>0.36245309166242806</v>
      </c>
      <c r="F587" s="191">
        <f>1.8*INPUT!BP19</f>
        <v>-0.13965229726090911</v>
      </c>
      <c r="G587" s="174">
        <f>INPUT!BY19</f>
        <v>103198490.90631922</v>
      </c>
      <c r="H587" s="174">
        <f>INPUT!BZ19</f>
        <v>110801218.3096953</v>
      </c>
      <c r="I587" s="174">
        <f>INPUT!CA19</f>
        <v>546882264.39991891</v>
      </c>
      <c r="J587" s="192" t="str">
        <f>IF(B490="Positive",(C587+D587+F587)/I587/$I$565*10^6,"-")</f>
        <v>-</v>
      </c>
      <c r="K587" s="192" t="str">
        <f>IF(OR(B490="Positive",INPUT!Q19=0),"-",-B587/G587/$I$566*10^6+(-C587-D587-E587)/H587/$I$566*10^6)</f>
        <v>-</v>
      </c>
      <c r="L587" s="201" t="str">
        <f>IF(B490="Positive",IF(J587&lt;=$G$565,"OK","NG"),"-")</f>
        <v>-</v>
      </c>
      <c r="M587" s="391" t="str">
        <f>IF(OR(B490="Positive",INPUT!Q19=0),"-",IF(K587&lt;=$G$566,"OK","NG"))</f>
        <v>-</v>
      </c>
      <c r="N587" s="4"/>
      <c r="Q587" s="4"/>
      <c r="R587" s="371"/>
    </row>
    <row r="588">
      <c r="A588" s="187">
        <f>A491</f>
        <v>101</v>
      </c>
      <c r="B588" s="191">
        <f>1.25*INPUT!BG20</f>
        <v>-43.387905153649626</v>
      </c>
      <c r="C588" s="191">
        <f>1.25*INPUT!BM20</f>
        <v>-20.515606752742315</v>
      </c>
      <c r="D588" s="191">
        <f>1.5*INPUT!BN20</f>
        <v>-13.498505934709101</v>
      </c>
      <c r="E588" s="191">
        <f>1.8*INPUT!BO20</f>
        <v>0.36245309166242806</v>
      </c>
      <c r="F588" s="191">
        <f>1.8*INPUT!BP20</f>
        <v>-0.13965229726090911</v>
      </c>
      <c r="G588" s="174">
        <f>INPUT!BY20</f>
        <v>103198490.90631922</v>
      </c>
      <c r="H588" s="174">
        <f>INPUT!BZ20</f>
        <v>110801218.3096953</v>
      </c>
      <c r="I588" s="174">
        <f>INPUT!CA20</f>
        <v>546882264.39991891</v>
      </c>
      <c r="J588" s="192" t="str">
        <f>IF(B491="Positive",(C588+D588+F588)/I588/$I$565*10^6,"-")</f>
        <v>-</v>
      </c>
      <c r="K588" s="192" t="str">
        <f>IF(OR(B491="Positive",INPUT!Q20=0),"-",-B588/G588/$I$566*10^6+(-C588-D588-E588)/H588/$I$566*10^6)</f>
        <v>-</v>
      </c>
      <c r="L588" s="201" t="str">
        <f>IF(B491="Positive",IF(J588&lt;=$G$565,"OK","NG"),"-")</f>
        <v>-</v>
      </c>
      <c r="M588" s="391" t="str">
        <f>IF(OR(B491="Positive",INPUT!Q20=0),"-",IF(K588&lt;=$G$566,"OK","NG"))</f>
        <v>-</v>
      </c>
      <c r="N588" s="4"/>
      <c r="Q588" s="4"/>
      <c r="R588" s="371"/>
    </row>
    <row r="589">
      <c r="A589" s="187">
        <f>A492</f>
        <v>101</v>
      </c>
      <c r="B589" s="191">
        <f>1.25*INPUT!BG21</f>
        <v>-43.387905153649626</v>
      </c>
      <c r="C589" s="191">
        <f>1.25*INPUT!BM21</f>
        <v>-20.515606752742315</v>
      </c>
      <c r="D589" s="191">
        <f>1.5*INPUT!BN21</f>
        <v>-13.498505934709101</v>
      </c>
      <c r="E589" s="191">
        <f>1.8*INPUT!BO21</f>
        <v>0.36245309166242806</v>
      </c>
      <c r="F589" s="191">
        <f>1.8*INPUT!BP21</f>
        <v>-0.13965229726090911</v>
      </c>
      <c r="G589" s="174">
        <f>INPUT!BY21</f>
        <v>103198490.90631922</v>
      </c>
      <c r="H589" s="174">
        <f>INPUT!BZ21</f>
        <v>110801218.3096953</v>
      </c>
      <c r="I589" s="174">
        <f>INPUT!CA21</f>
        <v>546882264.39991891</v>
      </c>
      <c r="J589" s="192" t="str">
        <f>IF(B492="Positive",(C589+D589+F589)/I589/$I$565*10^6,"-")</f>
        <v>-</v>
      </c>
      <c r="K589" s="192" t="str">
        <f>IF(OR(B492="Positive",INPUT!Q21=0),"-",-B589/G589/$I$566*10^6+(-C589-D589-E589)/H589/$I$566*10^6)</f>
        <v>-</v>
      </c>
      <c r="L589" s="201" t="str">
        <f>IF(B492="Positive",IF(J589&lt;=$G$565,"OK","NG"),"-")</f>
        <v>-</v>
      </c>
      <c r="M589" s="391" t="str">
        <f>IF(OR(B492="Positive",INPUT!Q21=0),"-",IF(K589&lt;=$G$566,"OK","NG"))</f>
        <v>-</v>
      </c>
      <c r="N589" s="4"/>
      <c r="Q589" s="4"/>
      <c r="R589" s="371"/>
    </row>
    <row r="590">
      <c r="A590" s="187">
        <f>A493</f>
        <v>101</v>
      </c>
      <c r="B590" s="191">
        <f>1.25*INPUT!BG22</f>
        <v>-43.387905153649626</v>
      </c>
      <c r="C590" s="191">
        <f>1.25*INPUT!BM22</f>
        <v>-20.515606752742315</v>
      </c>
      <c r="D590" s="191">
        <f>1.5*INPUT!BN22</f>
        <v>-13.498505934709101</v>
      </c>
      <c r="E590" s="191">
        <f>1.8*INPUT!BO22</f>
        <v>0.36245309166242806</v>
      </c>
      <c r="F590" s="191">
        <f>1.8*INPUT!BP22</f>
        <v>-0.13965229726090911</v>
      </c>
      <c r="G590" s="174">
        <f>INPUT!BY22</f>
        <v>103198490.90631922</v>
      </c>
      <c r="H590" s="174">
        <f>INPUT!BZ22</f>
        <v>110801218.3096953</v>
      </c>
      <c r="I590" s="174">
        <f>INPUT!CA22</f>
        <v>546882264.39991891</v>
      </c>
      <c r="J590" s="192" t="str">
        <f>IF(B493="Positive",(C590+D590+F590)/I590/$I$565*10^6,"-")</f>
        <v>-</v>
      </c>
      <c r="K590" s="192" t="str">
        <f>IF(OR(B493="Positive",INPUT!Q22=0),"-",-B590/G590/$I$566*10^6+(-C590-D590-E590)/H590/$I$566*10^6)</f>
        <v>-</v>
      </c>
      <c r="L590" s="201" t="str">
        <f>IF(B493="Positive",IF(J590&lt;=$G$565,"OK","NG"),"-")</f>
        <v>-</v>
      </c>
      <c r="M590" s="391" t="str">
        <f>IF(OR(B493="Positive",INPUT!Q22=0),"-",IF(K590&lt;=$G$566,"OK","NG"))</f>
        <v>-</v>
      </c>
      <c r="N590" s="4"/>
      <c r="Q590" s="4"/>
      <c r="R590" s="371"/>
    </row>
    <row r="591">
      <c r="A591" s="187">
        <f>A494</f>
        <v>101</v>
      </c>
      <c r="B591" s="191">
        <f>1.25*INPUT!BG23</f>
        <v>-43.387905153649626</v>
      </c>
      <c r="C591" s="191">
        <f>1.25*INPUT!BM23</f>
        <v>-20.515606752742315</v>
      </c>
      <c r="D591" s="191">
        <f>1.5*INPUT!BN23</f>
        <v>-13.498505934709101</v>
      </c>
      <c r="E591" s="191">
        <f>1.8*INPUT!BO23</f>
        <v>0.36245309166242806</v>
      </c>
      <c r="F591" s="191">
        <f>1.8*INPUT!BP23</f>
        <v>-0.13965229726090911</v>
      </c>
      <c r="G591" s="174">
        <f>INPUT!BY23</f>
        <v>103198490.90631922</v>
      </c>
      <c r="H591" s="174">
        <f>INPUT!BZ23</f>
        <v>110801218.3096953</v>
      </c>
      <c r="I591" s="174">
        <f>INPUT!CA23</f>
        <v>546882264.39991891</v>
      </c>
      <c r="J591" s="192" t="str">
        <f>IF(B494="Positive",(C591+D591+F591)/I591/$I$565*10^6,"-")</f>
        <v>-</v>
      </c>
      <c r="K591" s="192" t="str">
        <f>IF(OR(B494="Positive",INPUT!Q23=0),"-",-B591/G591/$I$566*10^6+(-C591-D591-E591)/H591/$I$566*10^6)</f>
        <v>-</v>
      </c>
      <c r="L591" s="201" t="str">
        <f>IF(B494="Positive",IF(J591&lt;=$G$565,"OK","NG"),"-")</f>
        <v>-</v>
      </c>
      <c r="M591" s="391" t="str">
        <f>IF(OR(B494="Positive",INPUT!Q23=0),"-",IF(K591&lt;=$G$566,"OK","NG"))</f>
        <v>-</v>
      </c>
      <c r="N591" s="4"/>
      <c r="Q591" s="4"/>
      <c r="R591" s="371"/>
    </row>
    <row r="592">
      <c r="A592" s="187">
        <f>A495</f>
        <v>101</v>
      </c>
      <c r="B592" s="191">
        <f>1.25*INPUT!BG24</f>
        <v>-43.387905153649626</v>
      </c>
      <c r="C592" s="191">
        <f>1.25*INPUT!BM24</f>
        <v>-20.515606752742315</v>
      </c>
      <c r="D592" s="191">
        <f>1.5*INPUT!BN24</f>
        <v>-13.498505934709101</v>
      </c>
      <c r="E592" s="191">
        <f>1.8*INPUT!BO24</f>
        <v>0.36245309166242806</v>
      </c>
      <c r="F592" s="191">
        <f>1.8*INPUT!BP24</f>
        <v>-0.13965229726090911</v>
      </c>
      <c r="G592" s="174">
        <f>INPUT!BY24</f>
        <v>103198490.90631922</v>
      </c>
      <c r="H592" s="174">
        <f>INPUT!BZ24</f>
        <v>110801218.3096953</v>
      </c>
      <c r="I592" s="174">
        <f>INPUT!CA24</f>
        <v>546882264.39991891</v>
      </c>
      <c r="J592" s="192" t="str">
        <f>IF(B495="Positive",(C592+D592+F592)/I592/$I$565*10^6,"-")</f>
        <v>-</v>
      </c>
      <c r="K592" s="192" t="str">
        <f>IF(OR(B495="Positive",INPUT!Q24=0),"-",-B592/G592/$I$566*10^6+(-C592-D592-E592)/H592/$I$566*10^6)</f>
        <v>-</v>
      </c>
      <c r="L592" s="201" t="str">
        <f>IF(B495="Positive",IF(J592&lt;=$G$565,"OK","NG"),"-")</f>
        <v>-</v>
      </c>
      <c r="M592" s="391" t="str">
        <f>IF(OR(B495="Positive",INPUT!Q24=0),"-",IF(K592&lt;=$G$566,"OK","NG"))</f>
        <v>-</v>
      </c>
      <c r="N592" s="4"/>
      <c r="Q592" s="4"/>
      <c r="R592" s="371"/>
    </row>
    <row r="593">
      <c r="A593" s="187">
        <f>A496</f>
        <v>101</v>
      </c>
      <c r="B593" s="191">
        <f>1.25*INPUT!BG25</f>
        <v>-43.387905153649626</v>
      </c>
      <c r="C593" s="191">
        <f>1.25*INPUT!BM25</f>
        <v>-20.515606752742315</v>
      </c>
      <c r="D593" s="191">
        <f>1.5*INPUT!BN25</f>
        <v>-13.498505934709101</v>
      </c>
      <c r="E593" s="191">
        <f>1.8*INPUT!BO25</f>
        <v>0.36245309166242806</v>
      </c>
      <c r="F593" s="191">
        <f>1.8*INPUT!BP25</f>
        <v>-0.13965229726090911</v>
      </c>
      <c r="G593" s="174">
        <f>INPUT!BY25</f>
        <v>103198490.90631922</v>
      </c>
      <c r="H593" s="174">
        <f>INPUT!BZ25</f>
        <v>110801218.3096953</v>
      </c>
      <c r="I593" s="174">
        <f>INPUT!CA25</f>
        <v>546882264.39991891</v>
      </c>
      <c r="J593" s="192" t="str">
        <f>IF(B496="Positive",(C593+D593+F593)/I593/$I$565*10^6,"-")</f>
        <v>-</v>
      </c>
      <c r="K593" s="192" t="str">
        <f>IF(OR(B496="Positive",INPUT!Q25=0),"-",-B593/G593/$I$566*10^6+(-C593-D593-E593)/H593/$I$566*10^6)</f>
        <v>-</v>
      </c>
      <c r="L593" s="201" t="str">
        <f>IF(B496="Positive",IF(J593&lt;=$G$565,"OK","NG"),"-")</f>
        <v>-</v>
      </c>
      <c r="M593" s="391" t="str">
        <f>IF(OR(B496="Positive",INPUT!Q25=0),"-",IF(K593&lt;=$G$566,"OK","NG"))</f>
        <v>-</v>
      </c>
      <c r="N593" s="4"/>
      <c r="Q593" s="4"/>
      <c r="R593" s="371"/>
    </row>
    <row r="594">
      <c r="A594" s="187">
        <f>A497</f>
        <v>101</v>
      </c>
      <c r="B594" s="191">
        <f>1.25*INPUT!BG26</f>
        <v>-43.387905153649626</v>
      </c>
      <c r="C594" s="191">
        <f>1.25*INPUT!BM26</f>
        <v>-20.515606752742315</v>
      </c>
      <c r="D594" s="191">
        <f>1.5*INPUT!BN26</f>
        <v>-13.498505934709101</v>
      </c>
      <c r="E594" s="191">
        <f>1.8*INPUT!BO26</f>
        <v>0.36245309166242806</v>
      </c>
      <c r="F594" s="191">
        <f>1.8*INPUT!BP26</f>
        <v>-0.13965229726090911</v>
      </c>
      <c r="G594" s="174">
        <f>INPUT!BY26</f>
        <v>103198490.90631922</v>
      </c>
      <c r="H594" s="174">
        <f>INPUT!BZ26</f>
        <v>110801218.3096953</v>
      </c>
      <c r="I594" s="174">
        <f>INPUT!CA26</f>
        <v>546882264.39991891</v>
      </c>
      <c r="J594" s="192" t="str">
        <f>IF(B497="Positive",(C594+D594+F594)/I594/$I$565*10^6,"-")</f>
        <v>-</v>
      </c>
      <c r="K594" s="192" t="str">
        <f>IF(OR(B497="Positive",INPUT!Q26=0),"-",-B594/G594/$I$566*10^6+(-C594-D594-E594)/H594/$I$566*10^6)</f>
        <v>-</v>
      </c>
      <c r="L594" s="201" t="str">
        <f>IF(B497="Positive",IF(J594&lt;=$G$565,"OK","NG"),"-")</f>
        <v>-</v>
      </c>
      <c r="M594" s="391" t="str">
        <f>IF(OR(B497="Positive",INPUT!Q26=0),"-",IF(K594&lt;=$G$566,"OK","NG"))</f>
        <v>-</v>
      </c>
      <c r="N594" s="4"/>
      <c r="Q594" s="4"/>
      <c r="R594" s="371"/>
    </row>
    <row r="595">
      <c r="A595" s="187">
        <f>A498</f>
        <v>101</v>
      </c>
      <c r="B595" s="191">
        <f>1.25*INPUT!BG27</f>
        <v>-43.387905153649626</v>
      </c>
      <c r="C595" s="191">
        <f>1.25*INPUT!BM27</f>
        <v>-20.515606752742315</v>
      </c>
      <c r="D595" s="191">
        <f>1.5*INPUT!BN27</f>
        <v>-13.498505934709101</v>
      </c>
      <c r="E595" s="191">
        <f>1.8*INPUT!BO27</f>
        <v>0.36245309166242806</v>
      </c>
      <c r="F595" s="191">
        <f>1.8*INPUT!BP27</f>
        <v>-0.13965229726090911</v>
      </c>
      <c r="G595" s="174">
        <f>INPUT!BY27</f>
        <v>103198490.90631922</v>
      </c>
      <c r="H595" s="174">
        <f>INPUT!BZ27</f>
        <v>110801218.3096953</v>
      </c>
      <c r="I595" s="174">
        <f>INPUT!CA27</f>
        <v>546882264.39991891</v>
      </c>
      <c r="J595" s="192" t="str">
        <f>IF(B498="Positive",(C595+D595+F595)/I595/$I$565*10^6,"-")</f>
        <v>-</v>
      </c>
      <c r="K595" s="192" t="str">
        <f>IF(OR(B498="Positive",INPUT!Q27=0),"-",-B595/G595/$I$566*10^6+(-C595-D595-E595)/H595/$I$566*10^6)</f>
        <v>-</v>
      </c>
      <c r="L595" s="201" t="str">
        <f>IF(B498="Positive",IF(J595&lt;=$G$565,"OK","NG"),"-")</f>
        <v>-</v>
      </c>
      <c r="M595" s="391" t="str">
        <f>IF(OR(B498="Positive",INPUT!Q27=0),"-",IF(K595&lt;=$G$566,"OK","NG"))</f>
        <v>-</v>
      </c>
      <c r="N595" s="4"/>
      <c r="Q595" s="4"/>
      <c r="R595" s="371"/>
    </row>
    <row r="596">
      <c r="A596" s="187">
        <f>A499</f>
        <v>101</v>
      </c>
      <c r="B596" s="191">
        <f>1.25*INPUT!BG28</f>
        <v>-43.387905153649626</v>
      </c>
      <c r="C596" s="191">
        <f>1.25*INPUT!BM28</f>
        <v>-20.515606752742315</v>
      </c>
      <c r="D596" s="191">
        <f>1.5*INPUT!BN28</f>
        <v>-13.498505934709101</v>
      </c>
      <c r="E596" s="191">
        <f>1.8*INPUT!BO28</f>
        <v>0.36245309166242806</v>
      </c>
      <c r="F596" s="191">
        <f>1.8*INPUT!BP28</f>
        <v>-0.13965229726090911</v>
      </c>
      <c r="G596" s="174">
        <f>INPUT!BY28</f>
        <v>103198490.90631922</v>
      </c>
      <c r="H596" s="174">
        <f>INPUT!BZ28</f>
        <v>110801218.3096953</v>
      </c>
      <c r="I596" s="174">
        <f>INPUT!CA28</f>
        <v>546882264.39991891</v>
      </c>
      <c r="J596" s="192" t="str">
        <f>IF(B499="Positive",(C596+D596+F596)/I596/$I$565*10^6,"-")</f>
        <v>-</v>
      </c>
      <c r="K596" s="192" t="str">
        <f>IF(OR(B499="Positive",INPUT!Q28=0),"-",-B596/G596/$I$566*10^6+(-C596-D596-E596)/H596/$I$566*10^6)</f>
        <v>-</v>
      </c>
      <c r="L596" s="201" t="str">
        <f>IF(B499="Positive",IF(J596&lt;=$G$565,"OK","NG"),"-")</f>
        <v>-</v>
      </c>
      <c r="M596" s="391" t="str">
        <f>IF(OR(B499="Positive",INPUT!Q28=0),"-",IF(K596&lt;=$G$566,"OK","NG"))</f>
        <v>-</v>
      </c>
      <c r="N596" s="4"/>
      <c r="Q596" s="4"/>
      <c r="R596" s="371"/>
    </row>
    <row r="597">
      <c r="A597" s="187">
        <f>A500</f>
        <v>101</v>
      </c>
      <c r="B597" s="191">
        <f>1.25*INPUT!BG29</f>
        <v>-43.387905153649626</v>
      </c>
      <c r="C597" s="191">
        <f>1.25*INPUT!BM29</f>
        <v>-20.515606752742315</v>
      </c>
      <c r="D597" s="191">
        <f>1.5*INPUT!BN29</f>
        <v>-13.498505934709101</v>
      </c>
      <c r="E597" s="191">
        <f>1.8*INPUT!BO29</f>
        <v>0.36245309166242806</v>
      </c>
      <c r="F597" s="191">
        <f>1.8*INPUT!BP29</f>
        <v>-0.13965229726090911</v>
      </c>
      <c r="G597" s="174">
        <f>INPUT!BY29</f>
        <v>103198490.90631922</v>
      </c>
      <c r="H597" s="174">
        <f>INPUT!BZ29</f>
        <v>110801218.3096953</v>
      </c>
      <c r="I597" s="174">
        <f>INPUT!CA29</f>
        <v>546882264.39991891</v>
      </c>
      <c r="J597" s="192" t="str">
        <f>IF(B500="Positive",(C597+D597+F597)/I597/$I$565*10^6,"-")</f>
        <v>-</v>
      </c>
      <c r="K597" s="192" t="str">
        <f>IF(OR(B500="Positive",INPUT!Q29=0),"-",-B597/G597/$I$566*10^6+(-C597-D597-E597)/H597/$I$566*10^6)</f>
        <v>-</v>
      </c>
      <c r="L597" s="201" t="str">
        <f>IF(B500="Positive",IF(J597&lt;=$G$565,"OK","NG"),"-")</f>
        <v>-</v>
      </c>
      <c r="M597" s="391" t="str">
        <f>IF(OR(B500="Positive",INPUT!Q29=0),"-",IF(K597&lt;=$G$566,"OK","NG"))</f>
        <v>-</v>
      </c>
      <c r="N597" s="4"/>
      <c r="Q597" s="4"/>
      <c r="R597" s="371"/>
    </row>
    <row r="598">
      <c r="A598" s="187">
        <f>A501</f>
        <v>101</v>
      </c>
      <c r="B598" s="191">
        <f>1.25*INPUT!BG30</f>
        <v>-43.387905153649626</v>
      </c>
      <c r="C598" s="191">
        <f>1.25*INPUT!BM30</f>
        <v>-20.515606752742315</v>
      </c>
      <c r="D598" s="191">
        <f>1.5*INPUT!BN30</f>
        <v>-13.498505934709101</v>
      </c>
      <c r="E598" s="191">
        <f>1.8*INPUT!BO30</f>
        <v>0.36245309166242806</v>
      </c>
      <c r="F598" s="191">
        <f>1.8*INPUT!BP30</f>
        <v>-0.13965229726090911</v>
      </c>
      <c r="G598" s="174">
        <f>INPUT!BY30</f>
        <v>103198490.90631922</v>
      </c>
      <c r="H598" s="174">
        <f>INPUT!BZ30</f>
        <v>110801218.3096953</v>
      </c>
      <c r="I598" s="174">
        <f>INPUT!CA30</f>
        <v>546882264.39991891</v>
      </c>
      <c r="J598" s="192" t="str">
        <f>IF(B501="Positive",(C598+D598+F598)/I598/$I$565*10^6,"-")</f>
        <v>-</v>
      </c>
      <c r="K598" s="192" t="str">
        <f>IF(OR(B501="Positive",INPUT!Q30=0),"-",-B598/G598/$I$566*10^6+(-C598-D598-E598)/H598/$I$566*10^6)</f>
        <v>-</v>
      </c>
      <c r="L598" s="201" t="str">
        <f>IF(B501="Positive",IF(J598&lt;=$G$565,"OK","NG"),"-")</f>
        <v>-</v>
      </c>
      <c r="M598" s="391" t="str">
        <f>IF(OR(B501="Positive",INPUT!Q30=0),"-",IF(K598&lt;=$G$566,"OK","NG"))</f>
        <v>-</v>
      </c>
      <c r="N598" s="4"/>
      <c r="Q598" s="4"/>
      <c r="R598" s="371"/>
    </row>
    <row r="599">
      <c r="A599" s="187">
        <f>A502</f>
        <v>101</v>
      </c>
      <c r="B599" s="191">
        <f>1.25*INPUT!BG31</f>
        <v>-43.387905153649626</v>
      </c>
      <c r="C599" s="191">
        <f>1.25*INPUT!BM31</f>
        <v>-20.515606752742315</v>
      </c>
      <c r="D599" s="191">
        <f>1.5*INPUT!BN31</f>
        <v>-13.498505934709101</v>
      </c>
      <c r="E599" s="191">
        <f>1.8*INPUT!BO31</f>
        <v>0.36245309166242806</v>
      </c>
      <c r="F599" s="191">
        <f>1.8*INPUT!BP31</f>
        <v>-0.13965229726090911</v>
      </c>
      <c r="G599" s="174">
        <f>INPUT!BY31</f>
        <v>103198490.90631922</v>
      </c>
      <c r="H599" s="174">
        <f>INPUT!BZ31</f>
        <v>110801218.3096953</v>
      </c>
      <c r="I599" s="174">
        <f>INPUT!CA31</f>
        <v>546882264.39991891</v>
      </c>
      <c r="J599" s="192" t="str">
        <f>IF(B502="Positive",(C599+D599+F599)/I599/$I$565*10^6,"-")</f>
        <v>-</v>
      </c>
      <c r="K599" s="192" t="str">
        <f>IF(OR(B502="Positive",INPUT!Q31=0),"-",-B599/G599/$I$566*10^6+(-C599-D599-E599)/H599/$I$566*10^6)</f>
        <v>-</v>
      </c>
      <c r="L599" s="201" t="str">
        <f>IF(B502="Positive",IF(J599&lt;=$G$565,"OK","NG"),"-")</f>
        <v>-</v>
      </c>
      <c r="M599" s="391" t="str">
        <f>IF(OR(B502="Positive",INPUT!Q31=0),"-",IF(K599&lt;=$G$566,"OK","NG"))</f>
        <v>-</v>
      </c>
      <c r="N599" s="4"/>
      <c r="Q599" s="4"/>
      <c r="R599" s="371"/>
    </row>
    <row r="600">
      <c r="A600" s="187">
        <f>A503</f>
        <v>101</v>
      </c>
      <c r="B600" s="191">
        <f>1.25*INPUT!BG32</f>
        <v>-43.387905153649626</v>
      </c>
      <c r="C600" s="191">
        <f>1.25*INPUT!BM32</f>
        <v>-20.515606752742315</v>
      </c>
      <c r="D600" s="191">
        <f>1.5*INPUT!BN32</f>
        <v>-13.498505934709101</v>
      </c>
      <c r="E600" s="191">
        <f>1.8*INPUT!BO32</f>
        <v>0.36245309166242806</v>
      </c>
      <c r="F600" s="191">
        <f>1.8*INPUT!BP32</f>
        <v>-0.13965229726090911</v>
      </c>
      <c r="G600" s="174">
        <f>INPUT!BY32</f>
        <v>103198490.90631922</v>
      </c>
      <c r="H600" s="174">
        <f>INPUT!BZ32</f>
        <v>110801218.3096953</v>
      </c>
      <c r="I600" s="174">
        <f>INPUT!CA32</f>
        <v>546882264.39991891</v>
      </c>
      <c r="J600" s="192" t="str">
        <f>IF(B503="Positive",(C600+D600+F600)/I600/$I$565*10^6,"-")</f>
        <v>-</v>
      </c>
      <c r="K600" s="192" t="str">
        <f>IF(OR(B503="Positive",INPUT!Q32=0),"-",-B600/G600/$I$566*10^6+(-C600-D600-E600)/H600/$I$566*10^6)</f>
        <v>-</v>
      </c>
      <c r="L600" s="201" t="str">
        <f>IF(B503="Positive",IF(J600&lt;=$G$565,"OK","NG"),"-")</f>
        <v>-</v>
      </c>
      <c r="M600" s="391" t="str">
        <f>IF(OR(B503="Positive",INPUT!Q32=0),"-",IF(K600&lt;=$G$566,"OK","NG"))</f>
        <v>-</v>
      </c>
      <c r="N600" s="4"/>
      <c r="Q600" s="4"/>
      <c r="R600" s="371"/>
    </row>
    <row r="601">
      <c r="A601" s="187">
        <f>A504</f>
        <v>101</v>
      </c>
      <c r="B601" s="191">
        <f>1.25*INPUT!BG33</f>
        <v>-43.387905153649626</v>
      </c>
      <c r="C601" s="191">
        <f>1.25*INPUT!BM33</f>
        <v>-20.515606752742315</v>
      </c>
      <c r="D601" s="191">
        <f>1.5*INPUT!BN33</f>
        <v>-13.498505934709101</v>
      </c>
      <c r="E601" s="191">
        <f>1.8*INPUT!BO33</f>
        <v>0.36245309166242806</v>
      </c>
      <c r="F601" s="191">
        <f>1.8*INPUT!BP33</f>
        <v>-0.13965229726090911</v>
      </c>
      <c r="G601" s="174">
        <f>INPUT!BY33</f>
        <v>103198490.90631922</v>
      </c>
      <c r="H601" s="174">
        <f>INPUT!BZ33</f>
        <v>110801218.3096953</v>
      </c>
      <c r="I601" s="174">
        <f>INPUT!CA33</f>
        <v>546882264.39991891</v>
      </c>
      <c r="J601" s="192" t="str">
        <f>IF(B504="Positive",(C601+D601+F601)/I601/$I$565*10^6,"-")</f>
        <v>-</v>
      </c>
      <c r="K601" s="192" t="str">
        <f>IF(OR(B504="Positive",INPUT!Q33=0),"-",-B601/G601/$I$566*10^6+(-C601-D601-E601)/H601/$I$566*10^6)</f>
        <v>-</v>
      </c>
      <c r="L601" s="201" t="str">
        <f>IF(B504="Positive",IF(J601&lt;=$G$565,"OK","NG"),"-")</f>
        <v>-</v>
      </c>
      <c r="M601" s="391" t="str">
        <f>IF(OR(B504="Positive",INPUT!Q33=0),"-",IF(K601&lt;=$G$566,"OK","NG"))</f>
        <v>-</v>
      </c>
      <c r="N601" s="4"/>
      <c r="Q601" s="4"/>
      <c r="R601" s="371"/>
    </row>
    <row r="602">
      <c r="A602" s="187">
        <f>A505</f>
        <v>101</v>
      </c>
      <c r="B602" s="191">
        <f>1.25*INPUT!BG34</f>
        <v>-43.387905153649626</v>
      </c>
      <c r="C602" s="191">
        <f>1.25*INPUT!BM34</f>
        <v>-20.515606752742315</v>
      </c>
      <c r="D602" s="191">
        <f>1.5*INPUT!BN34</f>
        <v>-13.498505934709101</v>
      </c>
      <c r="E602" s="191">
        <f>1.8*INPUT!BO34</f>
        <v>0.36245309166242806</v>
      </c>
      <c r="F602" s="191">
        <f>1.8*INPUT!BP34</f>
        <v>-0.13965229726090911</v>
      </c>
      <c r="G602" s="174">
        <f>INPUT!BY34</f>
        <v>103198490.90631922</v>
      </c>
      <c r="H602" s="174">
        <f>INPUT!BZ34</f>
        <v>110801218.3096953</v>
      </c>
      <c r="I602" s="174">
        <f>INPUT!CA34</f>
        <v>546882264.39991891</v>
      </c>
      <c r="J602" s="192" t="str">
        <f>IF(B505="Positive",(C602+D602+F602)/I602/$I$565*10^6,"-")</f>
        <v>-</v>
      </c>
      <c r="K602" s="192" t="str">
        <f>IF(OR(B505="Positive",INPUT!Q34=0),"-",-B602/G602/$I$566*10^6+(-C602-D602-E602)/H602/$I$566*10^6)</f>
        <v>-</v>
      </c>
      <c r="L602" s="201" t="str">
        <f>IF(B505="Positive",IF(J602&lt;=$G$565,"OK","NG"),"-")</f>
        <v>-</v>
      </c>
      <c r="M602" s="391" t="str">
        <f>IF(OR(B505="Positive",INPUT!Q34=0),"-",IF(K602&lt;=$G$566,"OK","NG"))</f>
        <v>-</v>
      </c>
      <c r="N602" s="4"/>
      <c r="Q602" s="4"/>
      <c r="R602" s="371"/>
    </row>
    <row r="603">
      <c r="A603" s="187">
        <f>A506</f>
        <v>101</v>
      </c>
      <c r="B603" s="191">
        <f>1.25*INPUT!BG35</f>
        <v>-43.387905153649626</v>
      </c>
      <c r="C603" s="191">
        <f>1.25*INPUT!BM35</f>
        <v>-20.515606752742315</v>
      </c>
      <c r="D603" s="191">
        <f>1.5*INPUT!BN35</f>
        <v>-13.498505934709101</v>
      </c>
      <c r="E603" s="191">
        <f>1.8*INPUT!BO35</f>
        <v>0.36245309166242806</v>
      </c>
      <c r="F603" s="191">
        <f>1.8*INPUT!BP35</f>
        <v>-0.13965229726090911</v>
      </c>
      <c r="G603" s="174">
        <f>INPUT!BY35</f>
        <v>103198490.90631922</v>
      </c>
      <c r="H603" s="174">
        <f>INPUT!BZ35</f>
        <v>110801218.3096953</v>
      </c>
      <c r="I603" s="174">
        <f>INPUT!CA35</f>
        <v>546882264.39991891</v>
      </c>
      <c r="J603" s="192" t="str">
        <f>IF(B506="Positive",(C603+D603+F603)/I603/$I$565*10^6,"-")</f>
        <v>-</v>
      </c>
      <c r="K603" s="192" t="str">
        <f>IF(OR(B506="Positive",INPUT!Q35=0),"-",-B603/G603/$I$566*10^6+(-C603-D603-E603)/H603/$I$566*10^6)</f>
        <v>-</v>
      </c>
      <c r="L603" s="201" t="str">
        <f>IF(B506="Positive",IF(J603&lt;=$G$565,"OK","NG"),"-")</f>
        <v>-</v>
      </c>
      <c r="M603" s="391" t="str">
        <f>IF(OR(B506="Positive",INPUT!Q35=0),"-",IF(K603&lt;=$G$566,"OK","NG"))</f>
        <v>-</v>
      </c>
      <c r="N603" s="4"/>
      <c r="Q603" s="4"/>
      <c r="R603" s="371"/>
    </row>
    <row r="604">
      <c r="A604" s="187">
        <f>A507</f>
        <v>101</v>
      </c>
      <c r="B604" s="191">
        <f>1.25*INPUT!BG36</f>
        <v>-43.387905153649626</v>
      </c>
      <c r="C604" s="191">
        <f>1.25*INPUT!BM36</f>
        <v>-20.515606752742315</v>
      </c>
      <c r="D604" s="191">
        <f>1.5*INPUT!BN36</f>
        <v>-13.498505934709101</v>
      </c>
      <c r="E604" s="191">
        <f>1.8*INPUT!BO36</f>
        <v>0.36245309166242806</v>
      </c>
      <c r="F604" s="191">
        <f>1.8*INPUT!BP36</f>
        <v>-0.13965229726090911</v>
      </c>
      <c r="G604" s="174">
        <f>INPUT!BY36</f>
        <v>103198490.90631922</v>
      </c>
      <c r="H604" s="174">
        <f>INPUT!BZ36</f>
        <v>110801218.3096953</v>
      </c>
      <c r="I604" s="174">
        <f>INPUT!CA36</f>
        <v>546882264.39991891</v>
      </c>
      <c r="J604" s="192" t="str">
        <f>IF(B507="Positive",(C604+D604+F604)/I604/$I$565*10^6,"-")</f>
        <v>-</v>
      </c>
      <c r="K604" s="192" t="str">
        <f>IF(OR(B507="Positive",INPUT!Q36=0),"-",-B604/G604/$I$566*10^6+(-C604-D604-E604)/H604/$I$566*10^6)</f>
        <v>-</v>
      </c>
      <c r="L604" s="201" t="str">
        <f>IF(B507="Positive",IF(J604&lt;=$G$565,"OK","NG"),"-")</f>
        <v>-</v>
      </c>
      <c r="M604" s="391" t="str">
        <f>IF(OR(B507="Positive",INPUT!Q36=0),"-",IF(K604&lt;=$G$566,"OK","NG"))</f>
        <v>-</v>
      </c>
      <c r="N604" s="4"/>
      <c r="Q604" s="4"/>
      <c r="R604" s="371"/>
    </row>
    <row r="605">
      <c r="A605" s="187">
        <f>A508</f>
        <v>101</v>
      </c>
      <c r="B605" s="191">
        <f>1.25*INPUT!BG37</f>
        <v>-43.387905153649626</v>
      </c>
      <c r="C605" s="191">
        <f>1.25*INPUT!BM37</f>
        <v>-20.515606752742315</v>
      </c>
      <c r="D605" s="191">
        <f>1.5*INPUT!BN37</f>
        <v>-13.498505934709101</v>
      </c>
      <c r="E605" s="191">
        <f>1.8*INPUT!BO37</f>
        <v>0.36245309166242806</v>
      </c>
      <c r="F605" s="191">
        <f>1.8*INPUT!BP37</f>
        <v>-0.13965229726090911</v>
      </c>
      <c r="G605" s="174">
        <f>INPUT!BY37</f>
        <v>103198490.90631922</v>
      </c>
      <c r="H605" s="174">
        <f>INPUT!BZ37</f>
        <v>110801218.3096953</v>
      </c>
      <c r="I605" s="174">
        <f>INPUT!CA37</f>
        <v>546882264.39991891</v>
      </c>
      <c r="J605" s="192" t="str">
        <f>IF(B508="Positive",(C605+D605+F605)/I605/$I$565*10^6,"-")</f>
        <v>-</v>
      </c>
      <c r="K605" s="192" t="str">
        <f>IF(OR(B508="Positive",INPUT!Q37=0),"-",-B605/G605/$I$566*10^6+(-C605-D605-E605)/H605/$I$566*10^6)</f>
        <v>-</v>
      </c>
      <c r="L605" s="201" t="str">
        <f>IF(B508="Positive",IF(J605&lt;=$G$565,"OK","NG"),"-")</f>
        <v>-</v>
      </c>
      <c r="M605" s="391" t="str">
        <f>IF(OR(B508="Positive",INPUT!Q37=0),"-",IF(K605&lt;=$G$566,"OK","NG"))</f>
        <v>-</v>
      </c>
      <c r="N605" s="4"/>
      <c r="Q605" s="4"/>
      <c r="R605" s="371"/>
    </row>
    <row r="606">
      <c r="A606" s="187">
        <f>A509</f>
        <v>101</v>
      </c>
      <c r="B606" s="191">
        <f>1.25*INPUT!BG38</f>
        <v>-43.387905153649626</v>
      </c>
      <c r="C606" s="191">
        <f>1.25*INPUT!BM38</f>
        <v>-20.515606752742315</v>
      </c>
      <c r="D606" s="191">
        <f>1.5*INPUT!BN38</f>
        <v>-13.498505934709101</v>
      </c>
      <c r="E606" s="191">
        <f>1.8*INPUT!BO38</f>
        <v>0.36245309166242806</v>
      </c>
      <c r="F606" s="191">
        <f>1.8*INPUT!BP38</f>
        <v>-0.13965229726090911</v>
      </c>
      <c r="G606" s="174">
        <f>INPUT!BY38</f>
        <v>103198490.90631922</v>
      </c>
      <c r="H606" s="174">
        <f>INPUT!BZ38</f>
        <v>110801218.3096953</v>
      </c>
      <c r="I606" s="174">
        <f>INPUT!CA38</f>
        <v>546882264.39991891</v>
      </c>
      <c r="J606" s="192" t="str">
        <f>IF(B509="Positive",(C606+D606+F606)/I606/$I$565*10^6,"-")</f>
        <v>-</v>
      </c>
      <c r="K606" s="192" t="str">
        <f>IF(OR(B509="Positive",INPUT!Q38=0),"-",-B606/G606/$I$566*10^6+(-C606-D606-E606)/H606/$I$566*10^6)</f>
        <v>-</v>
      </c>
      <c r="L606" s="201" t="str">
        <f>IF(B509="Positive",IF(J606&lt;=$G$565,"OK","NG"),"-")</f>
        <v>-</v>
      </c>
      <c r="M606" s="391" t="str">
        <f>IF(OR(B509="Positive",INPUT!Q38=0),"-",IF(K606&lt;=$G$566,"OK","NG"))</f>
        <v>-</v>
      </c>
      <c r="N606" s="4"/>
      <c r="Q606" s="4"/>
      <c r="R606" s="371"/>
    </row>
    <row r="607">
      <c r="A607" s="187">
        <f>A510</f>
        <v>101</v>
      </c>
      <c r="B607" s="191">
        <f>1.25*INPUT!BG39</f>
        <v>-43.387905153649626</v>
      </c>
      <c r="C607" s="191">
        <f>1.25*INPUT!BM39</f>
        <v>-20.515606752742315</v>
      </c>
      <c r="D607" s="191">
        <f>1.5*INPUT!BN39</f>
        <v>-13.498505934709101</v>
      </c>
      <c r="E607" s="191">
        <f>1.8*INPUT!BO39</f>
        <v>0.36245309166242806</v>
      </c>
      <c r="F607" s="191">
        <f>1.8*INPUT!BP39</f>
        <v>-0.13965229726090911</v>
      </c>
      <c r="G607" s="174">
        <f>INPUT!BY39</f>
        <v>103198490.90631922</v>
      </c>
      <c r="H607" s="174">
        <f>INPUT!BZ39</f>
        <v>110801218.3096953</v>
      </c>
      <c r="I607" s="174">
        <f>INPUT!CA39</f>
        <v>546882264.39991891</v>
      </c>
      <c r="J607" s="192" t="str">
        <f>IF(B510="Positive",(C607+D607+F607)/I607/$I$565*10^6,"-")</f>
        <v>-</v>
      </c>
      <c r="K607" s="192" t="str">
        <f>IF(OR(B510="Positive",INPUT!Q39=0),"-",-B607/G607/$I$566*10^6+(-C607-D607-E607)/H607/$I$566*10^6)</f>
        <v>-</v>
      </c>
      <c r="L607" s="201" t="str">
        <f>IF(B510="Positive",IF(J607&lt;=$G$565,"OK","NG"),"-")</f>
        <v>-</v>
      </c>
      <c r="M607" s="391" t="str">
        <f>IF(OR(B510="Positive",INPUT!Q39=0),"-",IF(K607&lt;=$G$566,"OK","NG"))</f>
        <v>-</v>
      </c>
      <c r="N607" s="4"/>
      <c r="Q607" s="4"/>
      <c r="R607" s="371"/>
    </row>
    <row r="608">
      <c r="A608" s="187">
        <f>A511</f>
        <v>101</v>
      </c>
      <c r="B608" s="191">
        <f>1.25*INPUT!BG40</f>
        <v>-43.387905153649626</v>
      </c>
      <c r="C608" s="191">
        <f>1.25*INPUT!BM40</f>
        <v>-20.515606752742315</v>
      </c>
      <c r="D608" s="191">
        <f>1.5*INPUT!BN40</f>
        <v>-13.498505934709101</v>
      </c>
      <c r="E608" s="191">
        <f>1.8*INPUT!BO40</f>
        <v>0.36245309166242806</v>
      </c>
      <c r="F608" s="191">
        <f>1.8*INPUT!BP40</f>
        <v>-0.13965229726090911</v>
      </c>
      <c r="G608" s="174">
        <f>INPUT!BY40</f>
        <v>103198490.90631922</v>
      </c>
      <c r="H608" s="174">
        <f>INPUT!BZ40</f>
        <v>110801218.3096953</v>
      </c>
      <c r="I608" s="174">
        <f>INPUT!CA40</f>
        <v>546882264.39991891</v>
      </c>
      <c r="J608" s="192" t="str">
        <f>IF(B511="Positive",(C608+D608+F608)/I608/$I$565*10^6,"-")</f>
        <v>-</v>
      </c>
      <c r="K608" s="192" t="str">
        <f>IF(OR(B511="Positive",INPUT!Q40=0),"-",-B608/G608/$I$566*10^6+(-C608-D608-E608)/H608/$I$566*10^6)</f>
        <v>-</v>
      </c>
      <c r="L608" s="201" t="str">
        <f>IF(B511="Positive",IF(J608&lt;=$G$565,"OK","NG"),"-")</f>
        <v>-</v>
      </c>
      <c r="M608" s="391" t="str">
        <f>IF(OR(B511="Positive",INPUT!Q40=0),"-",IF(K608&lt;=$G$566,"OK","NG"))</f>
        <v>-</v>
      </c>
      <c r="N608" s="4"/>
      <c r="Q608" s="4"/>
      <c r="R608" s="371"/>
    </row>
    <row r="609">
      <c r="A609" s="187">
        <f>A512</f>
        <v>101</v>
      </c>
      <c r="B609" s="191">
        <f>1.25*INPUT!BG41</f>
        <v>-43.387905153649626</v>
      </c>
      <c r="C609" s="191">
        <f>1.25*INPUT!BM41</f>
        <v>-20.515606752742315</v>
      </c>
      <c r="D609" s="191">
        <f>1.5*INPUT!BN41</f>
        <v>-13.498505934709101</v>
      </c>
      <c r="E609" s="191">
        <f>1.8*INPUT!BO41</f>
        <v>0.36245309166242806</v>
      </c>
      <c r="F609" s="191">
        <f>1.8*INPUT!BP41</f>
        <v>-0.13965229726090911</v>
      </c>
      <c r="G609" s="174">
        <f>INPUT!BY41</f>
        <v>103198490.90631922</v>
      </c>
      <c r="H609" s="174">
        <f>INPUT!BZ41</f>
        <v>110801218.3096953</v>
      </c>
      <c r="I609" s="174">
        <f>INPUT!CA41</f>
        <v>546882264.39991891</v>
      </c>
      <c r="J609" s="192" t="str">
        <f>IF(B512="Positive",(C609+D609+F609)/I609/$I$565*10^6,"-")</f>
        <v>-</v>
      </c>
      <c r="K609" s="192" t="str">
        <f>IF(OR(B512="Positive",INPUT!Q41=0),"-",-B609/G609/$I$566*10^6+(-C609-D609-E609)/H609/$I$566*10^6)</f>
        <v>-</v>
      </c>
      <c r="L609" s="201" t="str">
        <f>IF(B512="Positive",IF(J609&lt;=$G$565,"OK","NG"),"-")</f>
        <v>-</v>
      </c>
      <c r="M609" s="391" t="str">
        <f>IF(OR(B512="Positive",INPUT!Q41=0),"-",IF(K609&lt;=$G$566,"OK","NG"))</f>
        <v>-</v>
      </c>
      <c r="N609" s="4"/>
      <c r="Q609" s="4"/>
      <c r="R609" s="371"/>
    </row>
    <row r="610">
      <c r="A610" s="187">
        <f>A513</f>
        <v>101</v>
      </c>
      <c r="B610" s="191">
        <f>1.25*INPUT!BG42</f>
        <v>-43.387905153649626</v>
      </c>
      <c r="C610" s="191">
        <f>1.25*INPUT!BM42</f>
        <v>-20.515606752742315</v>
      </c>
      <c r="D610" s="191">
        <f>1.5*INPUT!BN42</f>
        <v>-13.498505934709101</v>
      </c>
      <c r="E610" s="191">
        <f>1.8*INPUT!BO42</f>
        <v>0.36245309166242806</v>
      </c>
      <c r="F610" s="191">
        <f>1.8*INPUT!BP42</f>
        <v>-0.13965229726090911</v>
      </c>
      <c r="G610" s="174">
        <f>INPUT!BY42</f>
        <v>103198490.90631922</v>
      </c>
      <c r="H610" s="174">
        <f>INPUT!BZ42</f>
        <v>110801218.3096953</v>
      </c>
      <c r="I610" s="174">
        <f>INPUT!CA42</f>
        <v>546882264.39991891</v>
      </c>
      <c r="J610" s="192" t="str">
        <f>IF(B513="Positive",(C610+D610+F610)/I610/$I$565*10^6,"-")</f>
        <v>-</v>
      </c>
      <c r="K610" s="192" t="str">
        <f>IF(OR(B513="Positive",INPUT!Q42=0),"-",-B610/G610/$I$566*10^6+(-C610-D610-E610)/H610/$I$566*10^6)</f>
        <v>-</v>
      </c>
      <c r="L610" s="201" t="str">
        <f>IF(B513="Positive",IF(J610&lt;=$G$565,"OK","NG"),"-")</f>
        <v>-</v>
      </c>
      <c r="M610" s="391" t="str">
        <f>IF(OR(B513="Positive",INPUT!Q42=0),"-",IF(K610&lt;=$G$566,"OK","NG"))</f>
        <v>-</v>
      </c>
      <c r="N610" s="4"/>
      <c r="Q610" s="4"/>
      <c r="R610" s="371"/>
    </row>
    <row r="611">
      <c r="A611" s="187">
        <f>A514</f>
        <v>101</v>
      </c>
      <c r="B611" s="191">
        <f>1.25*INPUT!BG43</f>
        <v>-43.387905153649626</v>
      </c>
      <c r="C611" s="191">
        <f>1.25*INPUT!BM43</f>
        <v>-20.515606752742315</v>
      </c>
      <c r="D611" s="191">
        <f>1.5*INPUT!BN43</f>
        <v>-13.498505934709101</v>
      </c>
      <c r="E611" s="191">
        <f>1.8*INPUT!BO43</f>
        <v>0.36245309166242806</v>
      </c>
      <c r="F611" s="191">
        <f>1.8*INPUT!BP43</f>
        <v>-0.13965229726090911</v>
      </c>
      <c r="G611" s="174">
        <f>INPUT!BY43</f>
        <v>103198490.90631922</v>
      </c>
      <c r="H611" s="174">
        <f>INPUT!BZ43</f>
        <v>110801218.3096953</v>
      </c>
      <c r="I611" s="174">
        <f>INPUT!CA43</f>
        <v>546882264.39991891</v>
      </c>
      <c r="J611" s="192" t="str">
        <f>IF(B514="Positive",(C611+D611+F611)/I611/$I$565*10^6,"-")</f>
        <v>-</v>
      </c>
      <c r="K611" s="192" t="str">
        <f>IF(OR(B514="Positive",INPUT!Q43=0),"-",-B611/G611/$I$566*10^6+(-C611-D611-E611)/H611/$I$566*10^6)</f>
        <v>-</v>
      </c>
      <c r="L611" s="201" t="str">
        <f>IF(B514="Positive",IF(J611&lt;=$G$565,"OK","NG"),"-")</f>
        <v>-</v>
      </c>
      <c r="M611" s="391" t="str">
        <f>IF(OR(B514="Positive",INPUT!Q43=0),"-",IF(K611&lt;=$G$566,"OK","NG"))</f>
        <v>-</v>
      </c>
      <c r="N611" s="4"/>
      <c r="Q611" s="4"/>
      <c r="R611" s="371"/>
    </row>
    <row r="612">
      <c r="A612" s="187">
        <f>A515</f>
        <v>101</v>
      </c>
      <c r="B612" s="191">
        <f>1.25*INPUT!BG44</f>
        <v>-43.387905153649626</v>
      </c>
      <c r="C612" s="191">
        <f>1.25*INPUT!BM44</f>
        <v>-20.515606752742315</v>
      </c>
      <c r="D612" s="191">
        <f>1.5*INPUT!BN44</f>
        <v>-13.498505934709101</v>
      </c>
      <c r="E612" s="191">
        <f>1.8*INPUT!BO44</f>
        <v>0.36245309166242806</v>
      </c>
      <c r="F612" s="191">
        <f>1.8*INPUT!BP44</f>
        <v>-0.13965229726090911</v>
      </c>
      <c r="G612" s="174">
        <f>INPUT!BY44</f>
        <v>103198490.90631922</v>
      </c>
      <c r="H612" s="174">
        <f>INPUT!BZ44</f>
        <v>110801218.3096953</v>
      </c>
      <c r="I612" s="174">
        <f>INPUT!CA44</f>
        <v>546882264.39991891</v>
      </c>
      <c r="J612" s="192" t="str">
        <f>IF(B515="Positive",(C612+D612+F612)/I612/$I$565*10^6,"-")</f>
        <v>-</v>
      </c>
      <c r="K612" s="192" t="str">
        <f>IF(OR(B515="Positive",INPUT!Q44=0),"-",-B612/G612/$I$566*10^6+(-C612-D612-E612)/H612/$I$566*10^6)</f>
        <v>-</v>
      </c>
      <c r="L612" s="201" t="str">
        <f>IF(B515="Positive",IF(J612&lt;=$G$565,"OK","NG"),"-")</f>
        <v>-</v>
      </c>
      <c r="M612" s="391" t="str">
        <f>IF(OR(B515="Positive",INPUT!Q44=0),"-",IF(K612&lt;=$G$566,"OK","NG"))</f>
        <v>-</v>
      </c>
      <c r="N612" s="4"/>
      <c r="Q612" s="4"/>
      <c r="R612" s="371"/>
    </row>
    <row r="613">
      <c r="A613" s="187">
        <f>A516</f>
        <v>101</v>
      </c>
      <c r="B613" s="191">
        <f>1.25*INPUT!BG45</f>
        <v>-43.387905153649626</v>
      </c>
      <c r="C613" s="191">
        <f>1.25*INPUT!BM45</f>
        <v>-20.515606752742315</v>
      </c>
      <c r="D613" s="191">
        <f>1.5*INPUT!BN45</f>
        <v>-13.498505934709101</v>
      </c>
      <c r="E613" s="191">
        <f>1.8*INPUT!BO45</f>
        <v>0.36245309166242806</v>
      </c>
      <c r="F613" s="191">
        <f>1.8*INPUT!BP45</f>
        <v>-0.13965229726090911</v>
      </c>
      <c r="G613" s="174">
        <f>INPUT!BY45</f>
        <v>103198490.90631922</v>
      </c>
      <c r="H613" s="174">
        <f>INPUT!BZ45</f>
        <v>110801218.3096953</v>
      </c>
      <c r="I613" s="174">
        <f>INPUT!CA45</f>
        <v>546882264.39991891</v>
      </c>
      <c r="J613" s="192" t="str">
        <f>IF(B516="Positive",(C613+D613+F613)/I613/$I$565*10^6,"-")</f>
        <v>-</v>
      </c>
      <c r="K613" s="192" t="str">
        <f>IF(OR(B516="Positive",INPUT!Q45=0),"-",-B613/G613/$I$566*10^6+(-C613-D613-E613)/H613/$I$566*10^6)</f>
        <v>-</v>
      </c>
      <c r="L613" s="201" t="str">
        <f>IF(B516="Positive",IF(J613&lt;=$G$565,"OK","NG"),"-")</f>
        <v>-</v>
      </c>
      <c r="M613" s="391" t="str">
        <f>IF(OR(B516="Positive",INPUT!Q45=0),"-",IF(K613&lt;=$G$566,"OK","NG"))</f>
        <v>-</v>
      </c>
      <c r="N613" s="4"/>
      <c r="Q613" s="4"/>
      <c r="R613" s="371"/>
    </row>
    <row r="614">
      <c r="A614" s="187">
        <f>A517</f>
        <v>101</v>
      </c>
      <c r="B614" s="191">
        <f>1.25*INPUT!BG46</f>
        <v>-43.387905153649626</v>
      </c>
      <c r="C614" s="191">
        <f>1.25*INPUT!BM46</f>
        <v>-20.515606752742315</v>
      </c>
      <c r="D614" s="191">
        <f>1.5*INPUT!BN46</f>
        <v>-13.498505934709101</v>
      </c>
      <c r="E614" s="191">
        <f>1.8*INPUT!BO46</f>
        <v>0.36245309166242806</v>
      </c>
      <c r="F614" s="191">
        <f>1.8*INPUT!BP46</f>
        <v>-0.13965229726090911</v>
      </c>
      <c r="G614" s="174">
        <f>INPUT!BY46</f>
        <v>103198490.90631922</v>
      </c>
      <c r="H614" s="174">
        <f>INPUT!BZ46</f>
        <v>110801218.3096953</v>
      </c>
      <c r="I614" s="174">
        <f>INPUT!CA46</f>
        <v>546882264.39991891</v>
      </c>
      <c r="J614" s="192" t="str">
        <f>IF(B517="Positive",(C614+D614+F614)/I614/$I$565*10^6,"-")</f>
        <v>-</v>
      </c>
      <c r="K614" s="192" t="str">
        <f>IF(OR(B517="Positive",INPUT!Q46=0),"-",-B614/G614/$I$566*10^6+(-C614-D614-E614)/H614/$I$566*10^6)</f>
        <v>-</v>
      </c>
      <c r="L614" s="201" t="str">
        <f>IF(B517="Positive",IF(J614&lt;=$G$565,"OK","NG"),"-")</f>
        <v>-</v>
      </c>
      <c r="M614" s="391" t="str">
        <f>IF(OR(B517="Positive",INPUT!Q46=0),"-",IF(K614&lt;=$G$566,"OK","NG"))</f>
        <v>-</v>
      </c>
      <c r="N614" s="4"/>
      <c r="Q614" s="4"/>
      <c r="R614" s="371"/>
    </row>
    <row r="615">
      <c r="A615" s="187">
        <f>A518</f>
        <v>101</v>
      </c>
      <c r="B615" s="191">
        <f>1.25*INPUT!BG47</f>
        <v>-43.387905153649626</v>
      </c>
      <c r="C615" s="191">
        <f>1.25*INPUT!BM47</f>
        <v>-20.515606752742315</v>
      </c>
      <c r="D615" s="191">
        <f>1.5*INPUT!BN47</f>
        <v>-13.498505934709101</v>
      </c>
      <c r="E615" s="191">
        <f>1.8*INPUT!BO47</f>
        <v>0.36245309166242806</v>
      </c>
      <c r="F615" s="191">
        <f>1.8*INPUT!BP47</f>
        <v>-0.13965229726090911</v>
      </c>
      <c r="G615" s="174">
        <f>INPUT!BY47</f>
        <v>103198490.90631922</v>
      </c>
      <c r="H615" s="174">
        <f>INPUT!BZ47</f>
        <v>110801218.3096953</v>
      </c>
      <c r="I615" s="174">
        <f>INPUT!CA47</f>
        <v>546882264.39991891</v>
      </c>
      <c r="J615" s="192" t="str">
        <f>IF(B518="Positive",(C615+D615+F615)/I615/$I$565*10^6,"-")</f>
        <v>-</v>
      </c>
      <c r="K615" s="192" t="str">
        <f>IF(OR(B518="Positive",INPUT!Q47=0),"-",-B615/G615/$I$566*10^6+(-C615-D615-E615)/H615/$I$566*10^6)</f>
        <v>-</v>
      </c>
      <c r="L615" s="201" t="str">
        <f>IF(B518="Positive",IF(J615&lt;=$G$565,"OK","NG"),"-")</f>
        <v>-</v>
      </c>
      <c r="M615" s="391" t="str">
        <f>IF(OR(B518="Positive",INPUT!Q47=0),"-",IF(K615&lt;=$G$566,"OK","NG"))</f>
        <v>-</v>
      </c>
      <c r="N615" s="4"/>
      <c r="Q615" s="4"/>
      <c r="R615" s="371"/>
    </row>
    <row r="616">
      <c r="A616" s="187">
        <f>A519</f>
        <v>101</v>
      </c>
      <c r="B616" s="191">
        <f>1.25*INPUT!BG48</f>
        <v>-43.387905153649626</v>
      </c>
      <c r="C616" s="191">
        <f>1.25*INPUT!BM48</f>
        <v>-20.515606752742315</v>
      </c>
      <c r="D616" s="191">
        <f>1.5*INPUT!BN48</f>
        <v>-13.498505934709101</v>
      </c>
      <c r="E616" s="191">
        <f>1.8*INPUT!BO48</f>
        <v>0.36245309166242806</v>
      </c>
      <c r="F616" s="191">
        <f>1.8*INPUT!BP48</f>
        <v>-0.13965229726090911</v>
      </c>
      <c r="G616" s="174">
        <f>INPUT!BY48</f>
        <v>103198490.90631922</v>
      </c>
      <c r="H616" s="174">
        <f>INPUT!BZ48</f>
        <v>110801218.3096953</v>
      </c>
      <c r="I616" s="174">
        <f>INPUT!CA48</f>
        <v>546882264.39991891</v>
      </c>
      <c r="J616" s="192" t="str">
        <f>IF(B519="Positive",(C616+D616+F616)/I616/$I$565*10^6,"-")</f>
        <v>-</v>
      </c>
      <c r="K616" s="192" t="str">
        <f>IF(OR(B519="Positive",INPUT!Q48=0),"-",-B616/G616/$I$566*10^6+(-C616-D616-E616)/H616/$I$566*10^6)</f>
        <v>-</v>
      </c>
      <c r="L616" s="201" t="str">
        <f>IF(B519="Positive",IF(J616&lt;=$G$565,"OK","NG"),"-")</f>
        <v>-</v>
      </c>
      <c r="M616" s="391" t="str">
        <f>IF(OR(B519="Positive",INPUT!Q48=0),"-",IF(K616&lt;=$G$566,"OK","NG"))</f>
        <v>-</v>
      </c>
      <c r="N616" s="4"/>
      <c r="Q616" s="4"/>
      <c r="R616" s="371"/>
    </row>
    <row r="617">
      <c r="A617" s="187">
        <f>A520</f>
        <v>101</v>
      </c>
      <c r="B617" s="191">
        <f>1.25*INPUT!BG49</f>
        <v>-43.387905153649626</v>
      </c>
      <c r="C617" s="191">
        <f>1.25*INPUT!BM49</f>
        <v>-20.515606752742315</v>
      </c>
      <c r="D617" s="191">
        <f>1.5*INPUT!BN49</f>
        <v>-13.498505934709101</v>
      </c>
      <c r="E617" s="191">
        <f>1.8*INPUT!BO49</f>
        <v>0.36245309166242806</v>
      </c>
      <c r="F617" s="191">
        <f>1.8*INPUT!BP49</f>
        <v>-0.13965229726090911</v>
      </c>
      <c r="G617" s="174">
        <f>INPUT!BY49</f>
        <v>103198490.90631922</v>
      </c>
      <c r="H617" s="174">
        <f>INPUT!BZ49</f>
        <v>110801218.3096953</v>
      </c>
      <c r="I617" s="174">
        <f>INPUT!CA49</f>
        <v>546882264.39991891</v>
      </c>
      <c r="J617" s="192" t="str">
        <f>IF(B520="Positive",(C617+D617+F617)/I617/$I$565*10^6,"-")</f>
        <v>-</v>
      </c>
      <c r="K617" s="192" t="str">
        <f>IF(OR(B520="Positive",INPUT!Q49=0),"-",-B617/G617/$I$566*10^6+(-C617-D617-E617)/H617/$I$566*10^6)</f>
        <v>-</v>
      </c>
      <c r="L617" s="201" t="str">
        <f>IF(B520="Positive",IF(J617&lt;=$G$565,"OK","NG"),"-")</f>
        <v>-</v>
      </c>
      <c r="M617" s="391" t="str">
        <f>IF(OR(B520="Positive",INPUT!Q49=0),"-",IF(K617&lt;=$G$566,"OK","NG"))</f>
        <v>-</v>
      </c>
      <c r="N617" s="4"/>
      <c r="Q617" s="4"/>
      <c r="R617" s="371"/>
    </row>
    <row r="618">
      <c r="A618" s="187">
        <f>A521</f>
        <v>101</v>
      </c>
      <c r="B618" s="191">
        <f>1.25*INPUT!BG50</f>
        <v>-43.387905153649626</v>
      </c>
      <c r="C618" s="191">
        <f>1.25*INPUT!BM50</f>
        <v>-20.515606752742315</v>
      </c>
      <c r="D618" s="191">
        <f>1.5*INPUT!BN50</f>
        <v>-13.498505934709101</v>
      </c>
      <c r="E618" s="191">
        <f>1.8*INPUT!BO50</f>
        <v>0.36245309166242806</v>
      </c>
      <c r="F618" s="191">
        <f>1.8*INPUT!BP50</f>
        <v>-0.13965229726090911</v>
      </c>
      <c r="G618" s="174">
        <f>INPUT!BY50</f>
        <v>103198490.90631922</v>
      </c>
      <c r="H618" s="174">
        <f>INPUT!BZ50</f>
        <v>110801218.3096953</v>
      </c>
      <c r="I618" s="174">
        <f>INPUT!CA50</f>
        <v>546882264.39991891</v>
      </c>
      <c r="J618" s="192" t="str">
        <f>IF(B521="Positive",(C618+D618+F618)/I618/$I$565*10^6,"-")</f>
        <v>-</v>
      </c>
      <c r="K618" s="192" t="str">
        <f>IF(OR(B521="Positive",INPUT!Q50=0),"-",-B618/G618/$I$566*10^6+(-C618-D618-E618)/H618/$I$566*10^6)</f>
        <v>-</v>
      </c>
      <c r="L618" s="201" t="str">
        <f>IF(B521="Positive",IF(J618&lt;=$G$565,"OK","NG"),"-")</f>
        <v>-</v>
      </c>
      <c r="M618" s="391" t="str">
        <f>IF(OR(B521="Positive",INPUT!Q50=0),"-",IF(K618&lt;=$G$566,"OK","NG"))</f>
        <v>-</v>
      </c>
      <c r="N618" s="4"/>
      <c r="Q618" s="4"/>
      <c r="R618" s="371"/>
    </row>
    <row r="619">
      <c r="A619" s="187">
        <f>A522</f>
        <v>101</v>
      </c>
      <c r="B619" s="191">
        <f>1.25*INPUT!BG51</f>
        <v>-43.387905153649626</v>
      </c>
      <c r="C619" s="191">
        <f>1.25*INPUT!BM51</f>
        <v>-20.515606752742315</v>
      </c>
      <c r="D619" s="191">
        <f>1.5*INPUT!BN51</f>
        <v>-13.498505934709101</v>
      </c>
      <c r="E619" s="191">
        <f>1.8*INPUT!BO51</f>
        <v>0.36245309166242806</v>
      </c>
      <c r="F619" s="191">
        <f>1.8*INPUT!BP51</f>
        <v>-0.13965229726090911</v>
      </c>
      <c r="G619" s="174">
        <f>INPUT!BY51</f>
        <v>103198490.90631922</v>
      </c>
      <c r="H619" s="174">
        <f>INPUT!BZ51</f>
        <v>110801218.3096953</v>
      </c>
      <c r="I619" s="174">
        <f>INPUT!CA51</f>
        <v>546882264.39991891</v>
      </c>
      <c r="J619" s="192" t="str">
        <f>IF(B522="Positive",(C619+D619+F619)/I619/$I$565*10^6,"-")</f>
        <v>-</v>
      </c>
      <c r="K619" s="192" t="str">
        <f>IF(OR(B522="Positive",INPUT!Q51=0),"-",-B619/G619/$I$566*10^6+(-C619-D619-E619)/H619/$I$566*10^6)</f>
        <v>-</v>
      </c>
      <c r="L619" s="201" t="str">
        <f>IF(B522="Positive",IF(J619&lt;=$G$565,"OK","NG"),"-")</f>
        <v>-</v>
      </c>
      <c r="M619" s="391" t="str">
        <f>IF(OR(B522="Positive",INPUT!Q51=0),"-",IF(K619&lt;=$G$566,"OK","NG"))</f>
        <v>-</v>
      </c>
      <c r="N619" s="4"/>
      <c r="Q619" s="4"/>
      <c r="R619" s="371"/>
    </row>
    <row r="620">
      <c r="A620" s="187">
        <f>A523</f>
        <v>101</v>
      </c>
      <c r="B620" s="191">
        <f>1.25*INPUT!BG52</f>
        <v>-43.387905153649626</v>
      </c>
      <c r="C620" s="191">
        <f>1.25*INPUT!BM52</f>
        <v>-20.515606752742315</v>
      </c>
      <c r="D620" s="191">
        <f>1.5*INPUT!BN52</f>
        <v>-13.498505934709101</v>
      </c>
      <c r="E620" s="191">
        <f>1.8*INPUT!BO52</f>
        <v>0.36245309166242806</v>
      </c>
      <c r="F620" s="191">
        <f>1.8*INPUT!BP52</f>
        <v>-0.13965229726090911</v>
      </c>
      <c r="G620" s="174">
        <f>INPUT!BY52</f>
        <v>103198490.90631922</v>
      </c>
      <c r="H620" s="174">
        <f>INPUT!BZ52</f>
        <v>110801218.3096953</v>
      </c>
      <c r="I620" s="174">
        <f>INPUT!CA52</f>
        <v>546882264.39991891</v>
      </c>
      <c r="J620" s="192" t="str">
        <f>IF(B523="Positive",(C620+D620+F620)/I620/$I$565*10^6,"-")</f>
        <v>-</v>
      </c>
      <c r="K620" s="192" t="str">
        <f>IF(OR(B523="Positive",INPUT!Q52=0),"-",-B620/G620/$I$566*10^6+(-C620-D620-E620)/H620/$I$566*10^6)</f>
        <v>-</v>
      </c>
      <c r="L620" s="201" t="str">
        <f>IF(B523="Positive",IF(J620&lt;=$G$565,"OK","NG"),"-")</f>
        <v>-</v>
      </c>
      <c r="M620" s="391" t="str">
        <f>IF(OR(B523="Positive",INPUT!Q52=0),"-",IF(K620&lt;=$G$566,"OK","NG"))</f>
        <v>-</v>
      </c>
      <c r="N620" s="4"/>
      <c r="Q620" s="4"/>
      <c r="R620" s="371"/>
    </row>
    <row r="621">
      <c r="A621" s="187">
        <f>A524</f>
        <v>101</v>
      </c>
      <c r="B621" s="191">
        <f>1.25*INPUT!BG53</f>
        <v>-43.387905153649626</v>
      </c>
      <c r="C621" s="191">
        <f>1.25*INPUT!BM53</f>
        <v>-20.515606752742315</v>
      </c>
      <c r="D621" s="191">
        <f>1.5*INPUT!BN53</f>
        <v>-13.498505934709101</v>
      </c>
      <c r="E621" s="191">
        <f>1.8*INPUT!BO53</f>
        <v>0.36245309166242806</v>
      </c>
      <c r="F621" s="191">
        <f>1.8*INPUT!BP53</f>
        <v>-0.13965229726090911</v>
      </c>
      <c r="G621" s="174">
        <f>INPUT!BY53</f>
        <v>103198490.90631922</v>
      </c>
      <c r="H621" s="174">
        <f>INPUT!BZ53</f>
        <v>110801218.3096953</v>
      </c>
      <c r="I621" s="174">
        <f>INPUT!CA53</f>
        <v>546882264.39991891</v>
      </c>
      <c r="J621" s="192" t="str">
        <f>IF(B524="Positive",(C621+D621+F621)/I621/$I$565*10^6,"-")</f>
        <v>-</v>
      </c>
      <c r="K621" s="192" t="str">
        <f>IF(OR(B524="Positive",INPUT!Q53=0),"-",-B621/G621/$I$566*10^6+(-C621-D621-E621)/H621/$I$566*10^6)</f>
        <v>-</v>
      </c>
      <c r="L621" s="201" t="str">
        <f>IF(B524="Positive",IF(J621&lt;=$G$565,"OK","NG"),"-")</f>
        <v>-</v>
      </c>
      <c r="M621" s="391" t="str">
        <f>IF(OR(B524="Positive",INPUT!Q53=0),"-",IF(K621&lt;=$G$566,"OK","NG"))</f>
        <v>-</v>
      </c>
      <c r="N621" s="4"/>
      <c r="Q621" s="4"/>
      <c r="R621" s="371"/>
    </row>
    <row r="622">
      <c r="A622" s="187">
        <f>A525</f>
        <v>101</v>
      </c>
      <c r="B622" s="191">
        <f>1.25*INPUT!BG54</f>
        <v>-43.387905153649626</v>
      </c>
      <c r="C622" s="191">
        <f>1.25*INPUT!BM54</f>
        <v>-20.515606752742315</v>
      </c>
      <c r="D622" s="191">
        <f>1.5*INPUT!BN54</f>
        <v>-13.498505934709101</v>
      </c>
      <c r="E622" s="191">
        <f>1.8*INPUT!BO54</f>
        <v>0.36245309166242806</v>
      </c>
      <c r="F622" s="191">
        <f>1.8*INPUT!BP54</f>
        <v>-0.13965229726090911</v>
      </c>
      <c r="G622" s="174">
        <f>INPUT!BY54</f>
        <v>103198490.90631922</v>
      </c>
      <c r="H622" s="174">
        <f>INPUT!BZ54</f>
        <v>110801218.3096953</v>
      </c>
      <c r="I622" s="174">
        <f>INPUT!CA54</f>
        <v>546882264.39991891</v>
      </c>
      <c r="J622" s="192" t="str">
        <f>IF(B525="Positive",(C622+D622+F622)/I622/$I$565*10^6,"-")</f>
        <v>-</v>
      </c>
      <c r="K622" s="192" t="str">
        <f>IF(OR(B525="Positive",INPUT!Q54=0),"-",-B622/G622/$I$566*10^6+(-C622-D622-E622)/H622/$I$566*10^6)</f>
        <v>-</v>
      </c>
      <c r="L622" s="201" t="str">
        <f>IF(B525="Positive",IF(J622&lt;=$G$565,"OK","NG"),"-")</f>
        <v>-</v>
      </c>
      <c r="M622" s="391" t="str">
        <f>IF(OR(B525="Positive",INPUT!Q54=0),"-",IF(K622&lt;=$G$566,"OK","NG"))</f>
        <v>-</v>
      </c>
      <c r="N622" s="4"/>
      <c r="Q622" s="4"/>
      <c r="R622" s="371"/>
    </row>
    <row r="623">
      <c r="A623" s="187">
        <f>A526</f>
        <v>101</v>
      </c>
      <c r="B623" s="191">
        <f>1.25*INPUT!BG55</f>
        <v>-43.387905153649626</v>
      </c>
      <c r="C623" s="191">
        <f>1.25*INPUT!BM55</f>
        <v>-20.515606752742315</v>
      </c>
      <c r="D623" s="191">
        <f>1.5*INPUT!BN55</f>
        <v>-13.498505934709101</v>
      </c>
      <c r="E623" s="191">
        <f>1.8*INPUT!BO55</f>
        <v>0.36245309166242806</v>
      </c>
      <c r="F623" s="191">
        <f>1.8*INPUT!BP55</f>
        <v>-0.13965229726090911</v>
      </c>
      <c r="G623" s="174">
        <f>INPUT!BY55</f>
        <v>103198490.90631922</v>
      </c>
      <c r="H623" s="174">
        <f>INPUT!BZ55</f>
        <v>110801218.3096953</v>
      </c>
      <c r="I623" s="174">
        <f>INPUT!CA55</f>
        <v>546882264.39991891</v>
      </c>
      <c r="J623" s="192" t="str">
        <f>IF(B526="Positive",(C623+D623+F623)/I623/$I$565*10^6,"-")</f>
        <v>-</v>
      </c>
      <c r="K623" s="192" t="str">
        <f>IF(OR(B526="Positive",INPUT!Q55=0),"-",-B623/G623/$I$566*10^6+(-C623-D623-E623)/H623/$I$566*10^6)</f>
        <v>-</v>
      </c>
      <c r="L623" s="201" t="str">
        <f>IF(B526="Positive",IF(J623&lt;=$G$565,"OK","NG"),"-")</f>
        <v>-</v>
      </c>
      <c r="M623" s="391" t="str">
        <f>IF(OR(B526="Positive",INPUT!Q55=0),"-",IF(K623&lt;=$G$566,"OK","NG"))</f>
        <v>-</v>
      </c>
      <c r="N623" s="4"/>
      <c r="Q623" s="4"/>
      <c r="R623" s="371"/>
    </row>
    <row r="624">
      <c r="A624" s="187">
        <f>A527</f>
        <v>101</v>
      </c>
      <c r="B624" s="191">
        <f>1.25*INPUT!BG56</f>
        <v>-43.387905153649626</v>
      </c>
      <c r="C624" s="191">
        <f>1.25*INPUT!BM56</f>
        <v>-20.515606752742315</v>
      </c>
      <c r="D624" s="191">
        <f>1.5*INPUT!BN56</f>
        <v>-13.498505934709101</v>
      </c>
      <c r="E624" s="191">
        <f>1.8*INPUT!BO56</f>
        <v>0.36245309166242806</v>
      </c>
      <c r="F624" s="191">
        <f>1.8*INPUT!BP56</f>
        <v>-0.13965229726090911</v>
      </c>
      <c r="G624" s="174">
        <f>INPUT!BY56</f>
        <v>103198490.90631922</v>
      </c>
      <c r="H624" s="174">
        <f>INPUT!BZ56</f>
        <v>110801218.3096953</v>
      </c>
      <c r="I624" s="174">
        <f>INPUT!CA56</f>
        <v>546882264.39991891</v>
      </c>
      <c r="J624" s="192" t="str">
        <f>IF(B527="Positive",(C624+D624+F624)/I624/$I$565*10^6,"-")</f>
        <v>-</v>
      </c>
      <c r="K624" s="192" t="str">
        <f>IF(OR(B527="Positive",INPUT!Q56=0),"-",-B624/G624/$I$566*10^6+(-C624-D624-E624)/H624/$I$566*10^6)</f>
        <v>-</v>
      </c>
      <c r="L624" s="201" t="str">
        <f>IF(B527="Positive",IF(J624&lt;=$G$565,"OK","NG"),"-")</f>
        <v>-</v>
      </c>
      <c r="M624" s="391" t="str">
        <f>IF(OR(B527="Positive",INPUT!Q56=0),"-",IF(K624&lt;=$G$566,"OK","NG"))</f>
        <v>-</v>
      </c>
      <c r="N624" s="4"/>
      <c r="Q624" s="4"/>
      <c r="R624" s="371"/>
    </row>
    <row r="625">
      <c r="A625" s="187">
        <f>A528</f>
        <v>101</v>
      </c>
      <c r="B625" s="191">
        <f>1.25*INPUT!BG57</f>
        <v>-43.387905153649626</v>
      </c>
      <c r="C625" s="191">
        <f>1.25*INPUT!BM57</f>
        <v>-20.515606752742315</v>
      </c>
      <c r="D625" s="191">
        <f>1.5*INPUT!BN57</f>
        <v>-13.498505934709101</v>
      </c>
      <c r="E625" s="191">
        <f>1.8*INPUT!BO57</f>
        <v>0.36245309166242806</v>
      </c>
      <c r="F625" s="191">
        <f>1.8*INPUT!BP57</f>
        <v>-0.13965229726090911</v>
      </c>
      <c r="G625" s="174">
        <f>INPUT!BY57</f>
        <v>103198490.90631922</v>
      </c>
      <c r="H625" s="174">
        <f>INPUT!BZ57</f>
        <v>110801218.3096953</v>
      </c>
      <c r="I625" s="174">
        <f>INPUT!CA57</f>
        <v>546882264.39991891</v>
      </c>
      <c r="J625" s="192" t="str">
        <f>IF(B528="Positive",(C625+D625+F625)/I625/$I$565*10^6,"-")</f>
        <v>-</v>
      </c>
      <c r="K625" s="192" t="str">
        <f>IF(OR(B528="Positive",INPUT!Q57=0),"-",-B625/G625/$I$566*10^6+(-C625-D625-E625)/H625/$I$566*10^6)</f>
        <v>-</v>
      </c>
      <c r="L625" s="201" t="str">
        <f>IF(B528="Positive",IF(J625&lt;=$G$565,"OK","NG"),"-")</f>
        <v>-</v>
      </c>
      <c r="M625" s="391" t="str">
        <f>IF(OR(B528="Positive",INPUT!Q57=0),"-",IF(K625&lt;=$G$566,"OK","NG"))</f>
        <v>-</v>
      </c>
      <c r="N625" s="4"/>
      <c r="Q625" s="4"/>
      <c r="R625" s="371"/>
    </row>
    <row r="626">
      <c r="A626" s="187">
        <f>A529</f>
        <v>101</v>
      </c>
      <c r="B626" s="191">
        <f>1.25*INPUT!BG58</f>
        <v>-43.387905153649626</v>
      </c>
      <c r="C626" s="191">
        <f>1.25*INPUT!BM58</f>
        <v>-20.515606752742315</v>
      </c>
      <c r="D626" s="191">
        <f>1.5*INPUT!BN58</f>
        <v>-13.498505934709101</v>
      </c>
      <c r="E626" s="191">
        <f>1.8*INPUT!BO58</f>
        <v>0.36245309166242806</v>
      </c>
      <c r="F626" s="191">
        <f>1.8*INPUT!BP58</f>
        <v>-0.13965229726090911</v>
      </c>
      <c r="G626" s="174">
        <f>INPUT!BY58</f>
        <v>103198490.90631922</v>
      </c>
      <c r="H626" s="174">
        <f>INPUT!BZ58</f>
        <v>110801218.3096953</v>
      </c>
      <c r="I626" s="174">
        <f>INPUT!CA58</f>
        <v>546882264.39991891</v>
      </c>
      <c r="J626" s="192" t="str">
        <f>IF(B529="Positive",(C626+D626+F626)/I626/$I$565*10^6,"-")</f>
        <v>-</v>
      </c>
      <c r="K626" s="192" t="str">
        <f>IF(OR(B529="Positive",INPUT!Q58=0),"-",-B626/G626/$I$566*10^6+(-C626-D626-E626)/H626/$I$566*10^6)</f>
        <v>-</v>
      </c>
      <c r="L626" s="201" t="str">
        <f>IF(B529="Positive",IF(J626&lt;=$G$565,"OK","NG"),"-")</f>
        <v>-</v>
      </c>
      <c r="M626" s="391" t="str">
        <f>IF(OR(B529="Positive",INPUT!Q58=0),"-",IF(K626&lt;=$G$566,"OK","NG"))</f>
        <v>-</v>
      </c>
      <c r="N626" s="4"/>
      <c r="Q626" s="4"/>
      <c r="R626" s="371"/>
    </row>
    <row r="627">
      <c r="A627" s="187">
        <f>A530</f>
        <v>101</v>
      </c>
      <c r="B627" s="191">
        <f>1.25*INPUT!BG59</f>
        <v>-43.387905153649626</v>
      </c>
      <c r="C627" s="191">
        <f>1.25*INPUT!BM59</f>
        <v>-20.515606752742315</v>
      </c>
      <c r="D627" s="191">
        <f>1.5*INPUT!BN59</f>
        <v>-13.498505934709101</v>
      </c>
      <c r="E627" s="191">
        <f>1.8*INPUT!BO59</f>
        <v>0.36245309166242806</v>
      </c>
      <c r="F627" s="191">
        <f>1.8*INPUT!BP59</f>
        <v>-0.13965229726090911</v>
      </c>
      <c r="G627" s="174">
        <f>INPUT!BY59</f>
        <v>103198490.90631922</v>
      </c>
      <c r="H627" s="174">
        <f>INPUT!BZ59</f>
        <v>110801218.3096953</v>
      </c>
      <c r="I627" s="174">
        <f>INPUT!CA59</f>
        <v>546882264.39991891</v>
      </c>
      <c r="J627" s="192" t="str">
        <f>IF(B530="Positive",(C627+D627+F627)/I627/$I$565*10^6,"-")</f>
        <v>-</v>
      </c>
      <c r="K627" s="192" t="str">
        <f>IF(OR(B530="Positive",INPUT!Q59=0),"-",-B627/G627/$I$566*10^6+(-C627-D627-E627)/H627/$I$566*10^6)</f>
        <v>-</v>
      </c>
      <c r="L627" s="201" t="str">
        <f>IF(B530="Positive",IF(J627&lt;=$G$565,"OK","NG"),"-")</f>
        <v>-</v>
      </c>
      <c r="M627" s="391" t="str">
        <f>IF(OR(B530="Positive",INPUT!Q59=0),"-",IF(K627&lt;=$G$566,"OK","NG"))</f>
        <v>-</v>
      </c>
      <c r="N627" s="4"/>
      <c r="Q627" s="4"/>
      <c r="R627" s="371"/>
    </row>
    <row r="628">
      <c r="A628" s="187">
        <f>A531</f>
        <v>101</v>
      </c>
      <c r="B628" s="191">
        <f>1.25*INPUT!BG60</f>
        <v>-43.387905153649626</v>
      </c>
      <c r="C628" s="191">
        <f>1.25*INPUT!BM60</f>
        <v>-20.515606752742315</v>
      </c>
      <c r="D628" s="191">
        <f>1.5*INPUT!BN60</f>
        <v>-13.498505934709101</v>
      </c>
      <c r="E628" s="191">
        <f>1.8*INPUT!BO60</f>
        <v>0.36245309166242806</v>
      </c>
      <c r="F628" s="191">
        <f>1.8*INPUT!BP60</f>
        <v>-0.13965229726090911</v>
      </c>
      <c r="G628" s="174">
        <f>INPUT!BY60</f>
        <v>103198490.90631922</v>
      </c>
      <c r="H628" s="174">
        <f>INPUT!BZ60</f>
        <v>110801218.3096953</v>
      </c>
      <c r="I628" s="174">
        <f>INPUT!CA60</f>
        <v>546882264.39991891</v>
      </c>
      <c r="J628" s="192" t="str">
        <f>IF(B531="Positive",(C628+D628+F628)/I628/$I$565*10^6,"-")</f>
        <v>-</v>
      </c>
      <c r="K628" s="192" t="str">
        <f>IF(OR(B531="Positive",INPUT!Q60=0),"-",-B628/G628/$I$566*10^6+(-C628-D628-E628)/H628/$I$566*10^6)</f>
        <v>-</v>
      </c>
      <c r="L628" s="201" t="str">
        <f>IF(B531="Positive",IF(J628&lt;=$G$565,"OK","NG"),"-")</f>
        <v>-</v>
      </c>
      <c r="M628" s="391" t="str">
        <f>IF(OR(B531="Positive",INPUT!Q60=0),"-",IF(K628&lt;=$G$566,"OK","NG"))</f>
        <v>-</v>
      </c>
      <c r="N628" s="4"/>
      <c r="Q628" s="4"/>
      <c r="R628" s="371"/>
    </row>
    <row r="629">
      <c r="A629" s="187">
        <f>A532</f>
        <v>101</v>
      </c>
      <c r="B629" s="191">
        <f>1.25*INPUT!BG61</f>
        <v>-43.387905153649626</v>
      </c>
      <c r="C629" s="191">
        <f>1.25*INPUT!BM61</f>
        <v>-20.515606752742315</v>
      </c>
      <c r="D629" s="191">
        <f>1.5*INPUT!BN61</f>
        <v>-13.498505934709101</v>
      </c>
      <c r="E629" s="191">
        <f>1.8*INPUT!BO61</f>
        <v>0.36245309166242806</v>
      </c>
      <c r="F629" s="191">
        <f>1.8*INPUT!BP61</f>
        <v>-0.13965229726090911</v>
      </c>
      <c r="G629" s="174">
        <f>INPUT!BY61</f>
        <v>103198490.90631922</v>
      </c>
      <c r="H629" s="174">
        <f>INPUT!BZ61</f>
        <v>110801218.3096953</v>
      </c>
      <c r="I629" s="174">
        <f>INPUT!CA61</f>
        <v>546882264.39991891</v>
      </c>
      <c r="J629" s="192" t="str">
        <f>IF(B532="Positive",(C629+D629+F629)/I629/$I$565*10^6,"-")</f>
        <v>-</v>
      </c>
      <c r="K629" s="192" t="str">
        <f>IF(OR(B532="Positive",INPUT!Q61=0),"-",-B629/G629/$I$566*10^6+(-C629-D629-E629)/H629/$I$566*10^6)</f>
        <v>-</v>
      </c>
      <c r="L629" s="201" t="str">
        <f>IF(B532="Positive",IF(J629&lt;=$G$565,"OK","NG"),"-")</f>
        <v>-</v>
      </c>
      <c r="M629" s="391" t="str">
        <f>IF(OR(B532="Positive",INPUT!Q61=0),"-",IF(K629&lt;=$G$566,"OK","NG"))</f>
        <v>-</v>
      </c>
      <c r="N629" s="4"/>
      <c r="Q629" s="4"/>
      <c r="R629" s="371"/>
    </row>
    <row r="630">
      <c r="A630" s="187">
        <f>A533</f>
        <v>101</v>
      </c>
      <c r="B630" s="191">
        <f>1.25*INPUT!BG62</f>
        <v>-43.387905153649626</v>
      </c>
      <c r="C630" s="191">
        <f>1.25*INPUT!BM62</f>
        <v>-20.515606752742315</v>
      </c>
      <c r="D630" s="191">
        <f>1.5*INPUT!BN62</f>
        <v>-13.498505934709101</v>
      </c>
      <c r="E630" s="191">
        <f>1.8*INPUT!BO62</f>
        <v>0.36245309166242806</v>
      </c>
      <c r="F630" s="191">
        <f>1.8*INPUT!BP62</f>
        <v>-0.13965229726090911</v>
      </c>
      <c r="G630" s="174">
        <f>INPUT!BY62</f>
        <v>103198490.90631922</v>
      </c>
      <c r="H630" s="174">
        <f>INPUT!BZ62</f>
        <v>110801218.3096953</v>
      </c>
      <c r="I630" s="174">
        <f>INPUT!CA62</f>
        <v>546882264.39991891</v>
      </c>
      <c r="J630" s="192" t="str">
        <f>IF(B533="Positive",(C630+D630+F630)/I630/$I$565*10^6,"-")</f>
        <v>-</v>
      </c>
      <c r="K630" s="192" t="str">
        <f>IF(OR(B533="Positive",INPUT!Q62=0),"-",-B630/G630/$I$566*10^6+(-C630-D630-E630)/H630/$I$566*10^6)</f>
        <v>-</v>
      </c>
      <c r="L630" s="201" t="str">
        <f>IF(B533="Positive",IF(J630&lt;=$G$565,"OK","NG"),"-")</f>
        <v>-</v>
      </c>
      <c r="M630" s="391" t="str">
        <f>IF(OR(B533="Positive",INPUT!Q62=0),"-",IF(K630&lt;=$G$566,"OK","NG"))</f>
        <v>-</v>
      </c>
      <c r="N630" s="4"/>
      <c r="Q630" s="4"/>
      <c r="R630" s="371"/>
    </row>
    <row r="631">
      <c r="A631" s="187">
        <f>A534</f>
        <v>101</v>
      </c>
      <c r="B631" s="191">
        <f>1.25*INPUT!BG63</f>
        <v>-43.387905153649626</v>
      </c>
      <c r="C631" s="191">
        <f>1.25*INPUT!BM63</f>
        <v>-20.515606752742315</v>
      </c>
      <c r="D631" s="191">
        <f>1.5*INPUT!BN63</f>
        <v>-13.498505934709101</v>
      </c>
      <c r="E631" s="191">
        <f>1.8*INPUT!BO63</f>
        <v>0.36245309166242806</v>
      </c>
      <c r="F631" s="191">
        <f>1.8*INPUT!BP63</f>
        <v>-0.13965229726090911</v>
      </c>
      <c r="G631" s="174">
        <f>INPUT!BY63</f>
        <v>103198490.90631922</v>
      </c>
      <c r="H631" s="174">
        <f>INPUT!BZ63</f>
        <v>110801218.3096953</v>
      </c>
      <c r="I631" s="174">
        <f>INPUT!CA63</f>
        <v>546882264.39991891</v>
      </c>
      <c r="J631" s="192" t="str">
        <f>IF(B534="Positive",(C631+D631+F631)/I631/$I$565*10^6,"-")</f>
        <v>-</v>
      </c>
      <c r="K631" s="192" t="str">
        <f>IF(OR(B534="Positive",INPUT!Q63=0),"-",-B631/G631/$I$566*10^6+(-C631-D631-E631)/H631/$I$566*10^6)</f>
        <v>-</v>
      </c>
      <c r="L631" s="201" t="str">
        <f>IF(B534="Positive",IF(J631&lt;=$G$565,"OK","NG"),"-")</f>
        <v>-</v>
      </c>
      <c r="M631" s="391" t="str">
        <f>IF(OR(B534="Positive",INPUT!Q63=0),"-",IF(K631&lt;=$G$566,"OK","NG"))</f>
        <v>-</v>
      </c>
      <c r="N631" s="4"/>
      <c r="Q631" s="4"/>
      <c r="R631" s="371"/>
    </row>
    <row r="632">
      <c r="A632" s="187">
        <f>A535</f>
        <v>101</v>
      </c>
      <c r="B632" s="191">
        <f>1.25*INPUT!BG64</f>
        <v>-43.387905153649626</v>
      </c>
      <c r="C632" s="191">
        <f>1.25*INPUT!BM64</f>
        <v>-20.515606752742315</v>
      </c>
      <c r="D632" s="191">
        <f>1.5*INPUT!BN64</f>
        <v>-13.498505934709101</v>
      </c>
      <c r="E632" s="191">
        <f>1.8*INPUT!BO64</f>
        <v>0.36245309166242806</v>
      </c>
      <c r="F632" s="191">
        <f>1.8*INPUT!BP64</f>
        <v>-0.13965229726090911</v>
      </c>
      <c r="G632" s="174">
        <f>INPUT!BY64</f>
        <v>103198490.90631922</v>
      </c>
      <c r="H632" s="174">
        <f>INPUT!BZ64</f>
        <v>110801218.3096953</v>
      </c>
      <c r="I632" s="174">
        <f>INPUT!CA64</f>
        <v>546882264.39991891</v>
      </c>
      <c r="J632" s="192" t="str">
        <f>IF(B535="Positive",(C632+D632+F632)/I632/$I$565*10^6,"-")</f>
        <v>-</v>
      </c>
      <c r="K632" s="192" t="str">
        <f>IF(OR(B535="Positive",INPUT!Q64=0),"-",-B632/G632/$I$566*10^6+(-C632-D632-E632)/H632/$I$566*10^6)</f>
        <v>-</v>
      </c>
      <c r="L632" s="201" t="str">
        <f>IF(B535="Positive",IF(J632&lt;=$G$565,"OK","NG"),"-")</f>
        <v>-</v>
      </c>
      <c r="M632" s="391" t="str">
        <f>IF(OR(B535="Positive",INPUT!Q64=0),"-",IF(K632&lt;=$G$566,"OK","NG"))</f>
        <v>-</v>
      </c>
      <c r="N632" s="4"/>
      <c r="Q632" s="4"/>
      <c r="R632" s="371"/>
    </row>
    <row r="633">
      <c r="A633" s="187">
        <f>A536</f>
        <v>101</v>
      </c>
      <c r="B633" s="191">
        <f>1.25*INPUT!BG65</f>
        <v>-43.387905153649626</v>
      </c>
      <c r="C633" s="191">
        <f>1.25*INPUT!BM65</f>
        <v>-20.515606752742315</v>
      </c>
      <c r="D633" s="191">
        <f>1.5*INPUT!BN65</f>
        <v>-13.498505934709101</v>
      </c>
      <c r="E633" s="191">
        <f>1.8*INPUT!BO65</f>
        <v>0.36245309166242806</v>
      </c>
      <c r="F633" s="191">
        <f>1.8*INPUT!BP65</f>
        <v>-0.13965229726090911</v>
      </c>
      <c r="G633" s="174">
        <f>INPUT!BY65</f>
        <v>103198490.90631922</v>
      </c>
      <c r="H633" s="174">
        <f>INPUT!BZ65</f>
        <v>110801218.3096953</v>
      </c>
      <c r="I633" s="174">
        <f>INPUT!CA65</f>
        <v>546882264.39991891</v>
      </c>
      <c r="J633" s="192" t="str">
        <f>IF(B536="Positive",(C633+D633+F633)/I633/$I$565*10^6,"-")</f>
        <v>-</v>
      </c>
      <c r="K633" s="192" t="str">
        <f>IF(OR(B536="Positive",INPUT!Q65=0),"-",-B633/G633/$I$566*10^6+(-C633-D633-E633)/H633/$I$566*10^6)</f>
        <v>-</v>
      </c>
      <c r="L633" s="201" t="str">
        <f>IF(B536="Positive",IF(J633&lt;=$G$565,"OK","NG"),"-")</f>
        <v>-</v>
      </c>
      <c r="M633" s="391" t="str">
        <f>IF(OR(B536="Positive",INPUT!Q65=0),"-",IF(K633&lt;=$G$566,"OK","NG"))</f>
        <v>-</v>
      </c>
      <c r="N633" s="4"/>
      <c r="Q633" s="4"/>
      <c r="R633" s="371"/>
    </row>
    <row r="634">
      <c r="A634" s="187">
        <f>A537</f>
        <v>101</v>
      </c>
      <c r="B634" s="191">
        <f>1.25*INPUT!BG66</f>
        <v>-43.387905153649626</v>
      </c>
      <c r="C634" s="191">
        <f>1.25*INPUT!BM66</f>
        <v>-20.515606752742315</v>
      </c>
      <c r="D634" s="191">
        <f>1.5*INPUT!BN66</f>
        <v>-13.498505934709101</v>
      </c>
      <c r="E634" s="191">
        <f>1.8*INPUT!BO66</f>
        <v>0.36245309166242806</v>
      </c>
      <c r="F634" s="191">
        <f>1.8*INPUT!BP66</f>
        <v>-0.13965229726090911</v>
      </c>
      <c r="G634" s="174">
        <f>INPUT!BY66</f>
        <v>103198490.90631922</v>
      </c>
      <c r="H634" s="174">
        <f>INPUT!BZ66</f>
        <v>110801218.3096953</v>
      </c>
      <c r="I634" s="174">
        <f>INPUT!CA66</f>
        <v>546882264.39991891</v>
      </c>
      <c r="J634" s="192" t="str">
        <f>IF(B537="Positive",(C634+D634+F634)/I634/$I$565*10^6,"-")</f>
        <v>-</v>
      </c>
      <c r="K634" s="192" t="str">
        <f>IF(OR(B537="Positive",INPUT!Q66=0),"-",-B634/G634/$I$566*10^6+(-C634-D634-E634)/H634/$I$566*10^6)</f>
        <v>-</v>
      </c>
      <c r="L634" s="201" t="str">
        <f>IF(B537="Positive",IF(J634&lt;=$G$565,"OK","NG"),"-")</f>
        <v>-</v>
      </c>
      <c r="M634" s="391" t="str">
        <f>IF(OR(B537="Positive",INPUT!Q66=0),"-",IF(K634&lt;=$G$566,"OK","NG"))</f>
        <v>-</v>
      </c>
      <c r="N634" s="4"/>
      <c r="Q634" s="4"/>
      <c r="R634" s="371"/>
    </row>
    <row r="635">
      <c r="A635" s="187">
        <f>A538</f>
        <v>101</v>
      </c>
      <c r="B635" s="191">
        <f>1.25*INPUT!BG67</f>
        <v>-43.387905153649626</v>
      </c>
      <c r="C635" s="191">
        <f>1.25*INPUT!BM67</f>
        <v>-20.515606752742315</v>
      </c>
      <c r="D635" s="191">
        <f>1.5*INPUT!BN67</f>
        <v>-13.498505934709101</v>
      </c>
      <c r="E635" s="191">
        <f>1.8*INPUT!BO67</f>
        <v>0.36245309166242806</v>
      </c>
      <c r="F635" s="191">
        <f>1.8*INPUT!BP67</f>
        <v>-0.13965229726090911</v>
      </c>
      <c r="G635" s="174">
        <f>INPUT!BY67</f>
        <v>103198490.90631922</v>
      </c>
      <c r="H635" s="174">
        <f>INPUT!BZ67</f>
        <v>110801218.3096953</v>
      </c>
      <c r="I635" s="174">
        <f>INPUT!CA67</f>
        <v>546882264.39991891</v>
      </c>
      <c r="J635" s="192" t="str">
        <f>IF(B538="Positive",(C635+D635+F635)/I635/$I$565*10^6,"-")</f>
        <v>-</v>
      </c>
      <c r="K635" s="192" t="str">
        <f>IF(OR(B538="Positive",INPUT!Q67=0),"-",-B635/G635/$I$566*10^6+(-C635-D635-E635)/H635/$I$566*10^6)</f>
        <v>-</v>
      </c>
      <c r="L635" s="201" t="str">
        <f>IF(B538="Positive",IF(J635&lt;=$G$565,"OK","NG"),"-")</f>
        <v>-</v>
      </c>
      <c r="M635" s="391" t="str">
        <f>IF(OR(B538="Positive",INPUT!Q67=0),"-",IF(K635&lt;=$G$566,"OK","NG"))</f>
        <v>-</v>
      </c>
      <c r="N635" s="4"/>
      <c r="Q635" s="4"/>
      <c r="R635" s="371"/>
    </row>
    <row r="636">
      <c r="A636" s="187">
        <f>A539</f>
        <v>101</v>
      </c>
      <c r="B636" s="191">
        <f>1.25*INPUT!BG68</f>
        <v>-43.387905153649626</v>
      </c>
      <c r="C636" s="191">
        <f>1.25*INPUT!BM68</f>
        <v>-20.515606752742315</v>
      </c>
      <c r="D636" s="191">
        <f>1.5*INPUT!BN68</f>
        <v>-13.498505934709101</v>
      </c>
      <c r="E636" s="191">
        <f>1.8*INPUT!BO68</f>
        <v>0.36245309166242806</v>
      </c>
      <c r="F636" s="191">
        <f>1.8*INPUT!BP68</f>
        <v>-0.13965229726090911</v>
      </c>
      <c r="G636" s="174">
        <f>INPUT!BY68</f>
        <v>103198490.90631922</v>
      </c>
      <c r="H636" s="174">
        <f>INPUT!BZ68</f>
        <v>110801218.3096953</v>
      </c>
      <c r="I636" s="174">
        <f>INPUT!CA68</f>
        <v>546882264.39991891</v>
      </c>
      <c r="J636" s="192" t="str">
        <f>IF(B539="Positive",(C636+D636+F636)/I636/$I$565*10^6,"-")</f>
        <v>-</v>
      </c>
      <c r="K636" s="192" t="str">
        <f>IF(OR(B539="Positive",INPUT!Q68=0),"-",-B636/G636/$I$566*10^6+(-C636-D636-E636)/H636/$I$566*10^6)</f>
        <v>-</v>
      </c>
      <c r="L636" s="201" t="str">
        <f>IF(B539="Positive",IF(J636&lt;=$G$565,"OK","NG"),"-")</f>
        <v>-</v>
      </c>
      <c r="M636" s="391" t="str">
        <f>IF(OR(B539="Positive",INPUT!Q68=0),"-",IF(K636&lt;=$G$566,"OK","NG"))</f>
        <v>-</v>
      </c>
      <c r="N636" s="4"/>
      <c r="Q636" s="4"/>
      <c r="R636" s="371"/>
    </row>
    <row r="637">
      <c r="A637" s="187">
        <f>A540</f>
        <v>101</v>
      </c>
      <c r="B637" s="191">
        <f>1.25*INPUT!BG69</f>
        <v>-43.387905153649626</v>
      </c>
      <c r="C637" s="191">
        <f>1.25*INPUT!BM69</f>
        <v>-20.515606752742315</v>
      </c>
      <c r="D637" s="191">
        <f>1.5*INPUT!BN69</f>
        <v>-13.498505934709101</v>
      </c>
      <c r="E637" s="191">
        <f>1.8*INPUT!BO69</f>
        <v>0.36245309166242806</v>
      </c>
      <c r="F637" s="191">
        <f>1.8*INPUT!BP69</f>
        <v>-0.13965229726090911</v>
      </c>
      <c r="G637" s="174">
        <f>INPUT!BY69</f>
        <v>103198490.90631922</v>
      </c>
      <c r="H637" s="174">
        <f>INPUT!BZ69</f>
        <v>110801218.3096953</v>
      </c>
      <c r="I637" s="174">
        <f>INPUT!CA69</f>
        <v>546882264.39991891</v>
      </c>
      <c r="J637" s="192" t="str">
        <f>IF(B540="Positive",(C637+D637+F637)/I637/$I$565*10^6,"-")</f>
        <v>-</v>
      </c>
      <c r="K637" s="192" t="str">
        <f>IF(OR(B540="Positive",INPUT!Q69=0),"-",-B637/G637/$I$566*10^6+(-C637-D637-E637)/H637/$I$566*10^6)</f>
        <v>-</v>
      </c>
      <c r="L637" s="201" t="str">
        <f>IF(B540="Positive",IF(J637&lt;=$G$565,"OK","NG"),"-")</f>
        <v>-</v>
      </c>
      <c r="M637" s="391" t="str">
        <f>IF(OR(B540="Positive",INPUT!Q69=0),"-",IF(K637&lt;=$G$566,"OK","NG"))</f>
        <v>-</v>
      </c>
      <c r="N637" s="4"/>
      <c r="Q637" s="4"/>
      <c r="R637" s="371"/>
    </row>
    <row r="638">
      <c r="A638" s="187">
        <f>A541</f>
        <v>101</v>
      </c>
      <c r="B638" s="191">
        <f>1.25*INPUT!BG70</f>
        <v>-43.387905153649626</v>
      </c>
      <c r="C638" s="191">
        <f>1.25*INPUT!BM70</f>
        <v>-20.515606752742315</v>
      </c>
      <c r="D638" s="191">
        <f>1.5*INPUT!BN70</f>
        <v>-13.498505934709101</v>
      </c>
      <c r="E638" s="191">
        <f>1.8*INPUT!BO70</f>
        <v>0.36245309166242806</v>
      </c>
      <c r="F638" s="191">
        <f>1.8*INPUT!BP70</f>
        <v>-0.13965229726090911</v>
      </c>
      <c r="G638" s="174">
        <f>INPUT!BY70</f>
        <v>103198490.90631922</v>
      </c>
      <c r="H638" s="174">
        <f>INPUT!BZ70</f>
        <v>110801218.3096953</v>
      </c>
      <c r="I638" s="174">
        <f>INPUT!CA70</f>
        <v>546882264.39991891</v>
      </c>
      <c r="J638" s="192" t="str">
        <f>IF(B541="Positive",(C638+D638+F638)/I638/$I$565*10^6,"-")</f>
        <v>-</v>
      </c>
      <c r="K638" s="192" t="str">
        <f>IF(OR(B541="Positive",INPUT!Q70=0),"-",-B638/G638/$I$566*10^6+(-C638-D638-E638)/H638/$I$566*10^6)</f>
        <v>-</v>
      </c>
      <c r="L638" s="201" t="str">
        <f>IF(B541="Positive",IF(J638&lt;=$G$565,"OK","NG"),"-")</f>
        <v>-</v>
      </c>
      <c r="M638" s="391" t="str">
        <f>IF(OR(B541="Positive",INPUT!Q70=0),"-",IF(K638&lt;=$G$566,"OK","NG"))</f>
        <v>-</v>
      </c>
      <c r="N638" s="4"/>
      <c r="Q638" s="4"/>
      <c r="R638" s="371"/>
    </row>
    <row r="639">
      <c r="A639" s="187">
        <f>A542</f>
        <v>101</v>
      </c>
      <c r="B639" s="191">
        <f>1.25*INPUT!BG71</f>
        <v>-43.387905153649626</v>
      </c>
      <c r="C639" s="191">
        <f>1.25*INPUT!BM71</f>
        <v>-20.515606752742315</v>
      </c>
      <c r="D639" s="191">
        <f>1.5*INPUT!BN71</f>
        <v>-13.498505934709101</v>
      </c>
      <c r="E639" s="191">
        <f>1.8*INPUT!BO71</f>
        <v>0.36245309166242806</v>
      </c>
      <c r="F639" s="191">
        <f>1.8*INPUT!BP71</f>
        <v>-0.13965229726090911</v>
      </c>
      <c r="G639" s="174">
        <f>INPUT!BY71</f>
        <v>103198490.90631922</v>
      </c>
      <c r="H639" s="174">
        <f>INPUT!BZ71</f>
        <v>110801218.3096953</v>
      </c>
      <c r="I639" s="174">
        <f>INPUT!CA71</f>
        <v>546882264.39991891</v>
      </c>
      <c r="J639" s="192" t="str">
        <f>IF(B542="Positive",(C639+D639+F639)/I639/$I$565*10^6,"-")</f>
        <v>-</v>
      </c>
      <c r="K639" s="192" t="str">
        <f>IF(OR(B542="Positive",INPUT!Q71=0),"-",-B639/G639/$I$566*10^6+(-C639-D639-E639)/H639/$I$566*10^6)</f>
        <v>-</v>
      </c>
      <c r="L639" s="201" t="str">
        <f>IF(B542="Positive",IF(J639&lt;=$G$565,"OK","NG"),"-")</f>
        <v>-</v>
      </c>
      <c r="M639" s="391" t="str">
        <f>IF(OR(B542="Positive",INPUT!Q71=0),"-",IF(K639&lt;=$G$566,"OK","NG"))</f>
        <v>-</v>
      </c>
      <c r="N639" s="4"/>
      <c r="Q639" s="4"/>
      <c r="R639" s="371"/>
    </row>
    <row r="640">
      <c r="A640" s="187">
        <f>A543</f>
        <v>101</v>
      </c>
      <c r="B640" s="191">
        <f>1.25*INPUT!BG72</f>
        <v>-43.387905153649626</v>
      </c>
      <c r="C640" s="191">
        <f>1.25*INPUT!BM72</f>
        <v>-20.515606752742315</v>
      </c>
      <c r="D640" s="191">
        <f>1.5*INPUT!BN72</f>
        <v>-13.498505934709101</v>
      </c>
      <c r="E640" s="191">
        <f>1.8*INPUT!BO72</f>
        <v>0.36245309166242806</v>
      </c>
      <c r="F640" s="191">
        <f>1.8*INPUT!BP72</f>
        <v>-0.13965229726090911</v>
      </c>
      <c r="G640" s="174">
        <f>INPUT!BY72</f>
        <v>103198490.90631922</v>
      </c>
      <c r="H640" s="174">
        <f>INPUT!BZ72</f>
        <v>110801218.3096953</v>
      </c>
      <c r="I640" s="174">
        <f>INPUT!CA72</f>
        <v>546882264.39991891</v>
      </c>
      <c r="J640" s="192" t="str">
        <f>IF(B543="Positive",(C640+D640+F640)/I640/$I$565*10^6,"-")</f>
        <v>-</v>
      </c>
      <c r="K640" s="192" t="str">
        <f>IF(OR(B543="Positive",INPUT!Q72=0),"-",-B640/G640/$I$566*10^6+(-C640-D640-E640)/H640/$I$566*10^6)</f>
        <v>-</v>
      </c>
      <c r="L640" s="201" t="str">
        <f>IF(B543="Positive",IF(J640&lt;=$G$565,"OK","NG"),"-")</f>
        <v>-</v>
      </c>
      <c r="M640" s="391" t="str">
        <f>IF(OR(B543="Positive",INPUT!Q72=0),"-",IF(K640&lt;=$G$566,"OK","NG"))</f>
        <v>-</v>
      </c>
      <c r="N640" s="4"/>
      <c r="Q640" s="4"/>
      <c r="R640" s="371"/>
    </row>
    <row r="641">
      <c r="A641" s="187">
        <f>A544</f>
        <v>101</v>
      </c>
      <c r="B641" s="191">
        <f>1.25*INPUT!BG73</f>
        <v>-43.387905153649626</v>
      </c>
      <c r="C641" s="191">
        <f>1.25*INPUT!BM73</f>
        <v>-20.515606752742315</v>
      </c>
      <c r="D641" s="191">
        <f>1.5*INPUT!BN73</f>
        <v>-13.498505934709101</v>
      </c>
      <c r="E641" s="191">
        <f>1.8*INPUT!BO73</f>
        <v>0.36245309166242806</v>
      </c>
      <c r="F641" s="191">
        <f>1.8*INPUT!BP73</f>
        <v>-0.13965229726090911</v>
      </c>
      <c r="G641" s="174">
        <f>INPUT!BY73</f>
        <v>103198490.90631922</v>
      </c>
      <c r="H641" s="174">
        <f>INPUT!BZ73</f>
        <v>110801218.3096953</v>
      </c>
      <c r="I641" s="174">
        <f>INPUT!CA73</f>
        <v>546882264.39991891</v>
      </c>
      <c r="J641" s="192" t="str">
        <f>IF(B544="Positive",(C641+D641+F641)/I641/$I$565*10^6,"-")</f>
        <v>-</v>
      </c>
      <c r="K641" s="192" t="str">
        <f>IF(OR(B544="Positive",INPUT!Q73=0),"-",-B641/G641/$I$566*10^6+(-C641-D641-E641)/H641/$I$566*10^6)</f>
        <v>-</v>
      </c>
      <c r="L641" s="201" t="str">
        <f>IF(B544="Positive",IF(J641&lt;=$G$565,"OK","NG"),"-")</f>
        <v>-</v>
      </c>
      <c r="M641" s="391" t="str">
        <f>IF(OR(B544="Positive",INPUT!Q73=0),"-",IF(K641&lt;=$G$566,"OK","NG"))</f>
        <v>-</v>
      </c>
      <c r="N641" s="4"/>
      <c r="Q641" s="4"/>
      <c r="R641" s="371"/>
    </row>
    <row r="642">
      <c r="A642" s="187">
        <f>A545</f>
        <v>101</v>
      </c>
      <c r="B642" s="191">
        <f>1.25*INPUT!BG74</f>
        <v>-43.387905153649626</v>
      </c>
      <c r="C642" s="191">
        <f>1.25*INPUT!BM74</f>
        <v>-20.515606752742315</v>
      </c>
      <c r="D642" s="191">
        <f>1.5*INPUT!BN74</f>
        <v>-13.498505934709101</v>
      </c>
      <c r="E642" s="191">
        <f>1.8*INPUT!BO74</f>
        <v>0.36245309166242806</v>
      </c>
      <c r="F642" s="191">
        <f>1.8*INPUT!BP74</f>
        <v>-0.13965229726090911</v>
      </c>
      <c r="G642" s="174">
        <f>INPUT!BY74</f>
        <v>103198490.90631922</v>
      </c>
      <c r="H642" s="174">
        <f>INPUT!BZ74</f>
        <v>110801218.3096953</v>
      </c>
      <c r="I642" s="174">
        <f>INPUT!CA74</f>
        <v>546882264.39991891</v>
      </c>
      <c r="J642" s="192" t="str">
        <f>IF(B545="Positive",(C642+D642+F642)/I642/$I$565*10^6,"-")</f>
        <v>-</v>
      </c>
      <c r="K642" s="192" t="str">
        <f>IF(OR(B545="Positive",INPUT!Q74=0),"-",-B642/G642/$I$566*10^6+(-C642-D642-E642)/H642/$I$566*10^6)</f>
        <v>-</v>
      </c>
      <c r="L642" s="201" t="str">
        <f>IF(B545="Positive",IF(J642&lt;=$G$565,"OK","NG"),"-")</f>
        <v>-</v>
      </c>
      <c r="M642" s="391" t="str">
        <f>IF(OR(B545="Positive",INPUT!Q74=0),"-",IF(K642&lt;=$G$566,"OK","NG"))</f>
        <v>-</v>
      </c>
      <c r="N642" s="4"/>
      <c r="Q642" s="4"/>
      <c r="R642" s="371"/>
    </row>
    <row r="643">
      <c r="A643" s="187">
        <f>A546</f>
        <v>101</v>
      </c>
      <c r="B643" s="191">
        <f>1.25*INPUT!BG75</f>
        <v>-43.387905153649626</v>
      </c>
      <c r="C643" s="191">
        <f>1.25*INPUT!BM75</f>
        <v>-20.515606752742315</v>
      </c>
      <c r="D643" s="191">
        <f>1.5*INPUT!BN75</f>
        <v>-13.498505934709101</v>
      </c>
      <c r="E643" s="191">
        <f>1.8*INPUT!BO75</f>
        <v>0.36245309166242806</v>
      </c>
      <c r="F643" s="191">
        <f>1.8*INPUT!BP75</f>
        <v>-0.13965229726090911</v>
      </c>
      <c r="G643" s="174">
        <f>INPUT!BY75</f>
        <v>103198490.90631922</v>
      </c>
      <c r="H643" s="174">
        <f>INPUT!BZ75</f>
        <v>110801218.3096953</v>
      </c>
      <c r="I643" s="174">
        <f>INPUT!CA75</f>
        <v>546882264.39991891</v>
      </c>
      <c r="J643" s="192" t="str">
        <f>IF(B546="Positive",(C643+D643+F643)/I643/$I$565*10^6,"-")</f>
        <v>-</v>
      </c>
      <c r="K643" s="192" t="str">
        <f>IF(OR(B546="Positive",INPUT!Q75=0),"-",-B643/G643/$I$566*10^6+(-C643-D643-E643)/H643/$I$566*10^6)</f>
        <v>-</v>
      </c>
      <c r="L643" s="201" t="str">
        <f>IF(B546="Positive",IF(J643&lt;=$G$565,"OK","NG"),"-")</f>
        <v>-</v>
      </c>
      <c r="M643" s="391" t="str">
        <f>IF(OR(B546="Positive",INPUT!Q75=0),"-",IF(K643&lt;=$G$566,"OK","NG"))</f>
        <v>-</v>
      </c>
      <c r="N643" s="4"/>
      <c r="Q643" s="4"/>
      <c r="R643" s="371"/>
    </row>
    <row r="644">
      <c r="A644" s="187">
        <f>A547</f>
        <v>101</v>
      </c>
      <c r="B644" s="191">
        <f>1.25*INPUT!BG76</f>
        <v>-43.387905153649626</v>
      </c>
      <c r="C644" s="191">
        <f>1.25*INPUT!BM76</f>
        <v>-20.515606752742315</v>
      </c>
      <c r="D644" s="191">
        <f>1.5*INPUT!BN76</f>
        <v>-13.498505934709101</v>
      </c>
      <c r="E644" s="191">
        <f>1.8*INPUT!BO76</f>
        <v>0.36245309166242806</v>
      </c>
      <c r="F644" s="191">
        <f>1.8*INPUT!BP76</f>
        <v>-0.13965229726090911</v>
      </c>
      <c r="G644" s="174">
        <f>INPUT!BY76</f>
        <v>103198490.90631922</v>
      </c>
      <c r="H644" s="174">
        <f>INPUT!BZ76</f>
        <v>110801218.3096953</v>
      </c>
      <c r="I644" s="174">
        <f>INPUT!CA76</f>
        <v>546882264.39991891</v>
      </c>
      <c r="J644" s="192" t="str">
        <f>IF(B547="Positive",(C644+D644+F644)/I644/$I$565*10^6,"-")</f>
        <v>-</v>
      </c>
      <c r="K644" s="192" t="str">
        <f>IF(OR(B547="Positive",INPUT!Q76=0),"-",-B644/G644/$I$566*10^6+(-C644-D644-E644)/H644/$I$566*10^6)</f>
        <v>-</v>
      </c>
      <c r="L644" s="201" t="str">
        <f>IF(B547="Positive",IF(J644&lt;=$G$565,"OK","NG"),"-")</f>
        <v>-</v>
      </c>
      <c r="M644" s="391" t="str">
        <f>IF(OR(B547="Positive",INPUT!Q76=0),"-",IF(K644&lt;=$G$566,"OK","NG"))</f>
        <v>-</v>
      </c>
      <c r="N644" s="4"/>
      <c r="Q644" s="4"/>
      <c r="R644" s="371"/>
    </row>
    <row r="645">
      <c r="A645" s="187">
        <f>A548</f>
        <v>101</v>
      </c>
      <c r="B645" s="191">
        <f>1.25*INPUT!BG77</f>
        <v>-43.387905153649626</v>
      </c>
      <c r="C645" s="191">
        <f>1.25*INPUT!BM77</f>
        <v>-20.515606752742315</v>
      </c>
      <c r="D645" s="191">
        <f>1.5*INPUT!BN77</f>
        <v>-13.498505934709101</v>
      </c>
      <c r="E645" s="191">
        <f>1.8*INPUT!BO77</f>
        <v>0.36245309166242806</v>
      </c>
      <c r="F645" s="191">
        <f>1.8*INPUT!BP77</f>
        <v>-0.13965229726090911</v>
      </c>
      <c r="G645" s="174">
        <f>INPUT!BY77</f>
        <v>103198490.90631922</v>
      </c>
      <c r="H645" s="174">
        <f>INPUT!BZ77</f>
        <v>110801218.3096953</v>
      </c>
      <c r="I645" s="174">
        <f>INPUT!CA77</f>
        <v>546882264.39991891</v>
      </c>
      <c r="J645" s="192" t="str">
        <f>IF(B548="Positive",(C645+D645+F645)/I645/$I$565*10^6,"-")</f>
        <v>-</v>
      </c>
      <c r="K645" s="192" t="str">
        <f>IF(OR(B548="Positive",INPUT!Q77=0),"-",-B645/G645/$I$566*10^6+(-C645-D645-E645)/H645/$I$566*10^6)</f>
        <v>-</v>
      </c>
      <c r="L645" s="201" t="str">
        <f>IF(B548="Positive",IF(J645&lt;=$G$565,"OK","NG"),"-")</f>
        <v>-</v>
      </c>
      <c r="M645" s="391" t="str">
        <f>IF(OR(B548="Positive",INPUT!Q77=0),"-",IF(K645&lt;=$G$566,"OK","NG"))</f>
        <v>-</v>
      </c>
      <c r="N645" s="4"/>
      <c r="Q645" s="4"/>
      <c r="R645" s="371"/>
    </row>
    <row r="646">
      <c r="A646" s="187">
        <f>A549</f>
        <v>101</v>
      </c>
      <c r="B646" s="191">
        <f>1.25*INPUT!BG78</f>
        <v>-43.387905153649626</v>
      </c>
      <c r="C646" s="191">
        <f>1.25*INPUT!BM78</f>
        <v>-20.515606752742315</v>
      </c>
      <c r="D646" s="191">
        <f>1.5*INPUT!BN78</f>
        <v>-13.498505934709101</v>
      </c>
      <c r="E646" s="191">
        <f>1.8*INPUT!BO78</f>
        <v>0.36245309166242806</v>
      </c>
      <c r="F646" s="191">
        <f>1.8*INPUT!BP78</f>
        <v>-0.13965229726090911</v>
      </c>
      <c r="G646" s="174">
        <f>INPUT!BY78</f>
        <v>103198490.90631922</v>
      </c>
      <c r="H646" s="174">
        <f>INPUT!BZ78</f>
        <v>110801218.3096953</v>
      </c>
      <c r="I646" s="174">
        <f>INPUT!CA78</f>
        <v>546882264.39991891</v>
      </c>
      <c r="J646" s="192" t="str">
        <f>IF(B549="Positive",(C646+D646+F646)/I646/$I$565*10^6,"-")</f>
        <v>-</v>
      </c>
      <c r="K646" s="192" t="str">
        <f>IF(OR(B549="Positive",INPUT!Q78=0),"-",-B646/G646/$I$566*10^6+(-C646-D646-E646)/H646/$I$566*10^6)</f>
        <v>-</v>
      </c>
      <c r="L646" s="201" t="str">
        <f>IF(B549="Positive",IF(J646&lt;=$G$565,"OK","NG"),"-")</f>
        <v>-</v>
      </c>
      <c r="M646" s="391" t="str">
        <f>IF(OR(B549="Positive",INPUT!Q78=0),"-",IF(K646&lt;=$G$566,"OK","NG"))</f>
        <v>-</v>
      </c>
      <c r="N646" s="4"/>
      <c r="Q646" s="4"/>
      <c r="R646" s="371"/>
    </row>
    <row r="647" ht="15" customHeight="1" s="4" customFormat="1">
      <c r="L647" s="207"/>
      <c r="O647" s="296"/>
      <c r="P647" s="64"/>
      <c r="R647" s="371"/>
      <c r="Z647" s="207"/>
      <c r="AB647" s="207"/>
      <c r="AE647" s="207"/>
    </row>
    <row r="648" ht="15" customHeight="1" s="4" customFormat="1">
      <c r="A648" s="11"/>
      <c r="C648" s="19"/>
      <c r="E648" s="109"/>
      <c r="G648" s="110"/>
      <c r="H648" s="110"/>
      <c r="I648" s="110"/>
      <c r="L648" s="207"/>
      <c r="O648" s="307"/>
      <c r="P648" s="64"/>
      <c r="R648" s="371"/>
      <c r="Z648" s="207"/>
      <c r="AB648" s="207"/>
      <c r="AE648" s="207"/>
    </row>
    <row r="649" ht="15" customHeight="1" s="4" customFormat="1">
      <c r="A649" s="39" t="s">
        <v>814</v>
      </c>
      <c r="G649" s="110"/>
      <c r="H649" s="110"/>
      <c r="I649" s="110"/>
      <c r="L649" s="207"/>
      <c r="O649" s="307"/>
      <c r="P649" s="64"/>
      <c r="Z649" s="207"/>
      <c r="AB649" s="207"/>
      <c r="AE649" s="207"/>
    </row>
    <row r="650" ht="15" customHeight="1" s="4" customFormat="1">
      <c r="A650" s="40"/>
      <c r="G650" s="110"/>
      <c r="H650" s="110"/>
      <c r="I650" s="110"/>
      <c r="L650" s="207"/>
      <c r="O650" s="307"/>
      <c r="P650" s="64"/>
      <c r="Z650" s="205"/>
      <c r="AB650" s="207"/>
      <c r="AE650" s="207"/>
    </row>
    <row r="651" ht="15" customHeight="1" s="64" customFormat="1">
      <c r="A651" s="470"/>
      <c r="B651" s="526" t="s">
        <v>815</v>
      </c>
      <c r="C651" s="527"/>
      <c r="D651" s="527"/>
      <c r="E651" s="527"/>
      <c r="F651" s="527"/>
      <c r="G651" s="527"/>
      <c r="H651" s="527"/>
      <c r="I651" s="528"/>
      <c r="J651" s="558" t="s">
        <v>816</v>
      </c>
      <c r="K651" s="559"/>
      <c r="L651" s="559"/>
      <c r="M651" s="560"/>
      <c r="O651" s="307"/>
    </row>
    <row r="652" ht="15" customHeight="1" s="64" customFormat="1">
      <c r="A652" s="470"/>
      <c r="B652" s="564" t="s">
        <v>419</v>
      </c>
      <c r="C652" s="565"/>
      <c r="D652" s="565"/>
      <c r="E652" s="566"/>
      <c r="F652" s="567" t="s">
        <v>420</v>
      </c>
      <c r="G652" s="568"/>
      <c r="H652" s="568"/>
      <c r="I652" s="569"/>
      <c r="J652" s="561"/>
      <c r="K652" s="562"/>
      <c r="L652" s="562"/>
      <c r="M652" s="563"/>
      <c r="O652" s="307"/>
    </row>
    <row r="653" ht="15" customHeight="1" s="64" customFormat="1">
      <c r="A653" s="470"/>
      <c r="B653" s="570" t="s">
        <v>817</v>
      </c>
      <c r="C653" s="571"/>
      <c r="D653" s="571"/>
      <c r="E653" s="572"/>
      <c r="F653" s="573" t="s">
        <v>818</v>
      </c>
      <c r="G653" s="571"/>
      <c r="H653" s="571"/>
      <c r="I653" s="574"/>
      <c r="J653" s="575" t="s">
        <v>819</v>
      </c>
      <c r="K653" s="571"/>
      <c r="L653" s="571"/>
      <c r="M653" s="576"/>
      <c r="O653" s="307"/>
    </row>
    <row r="654" ht="15" customHeight="1" s="64" customFormat="1">
      <c r="A654" s="470"/>
      <c r="B654" s="577" t="s">
        <v>536</v>
      </c>
      <c r="C654" s="578"/>
      <c r="D654" s="578"/>
      <c r="E654" s="579"/>
      <c r="F654" s="580" t="s">
        <v>444</v>
      </c>
      <c r="G654" s="578"/>
      <c r="H654" s="578"/>
      <c r="I654" s="581"/>
      <c r="J654" s="582" t="s">
        <v>539</v>
      </c>
      <c r="K654" s="578"/>
      <c r="L654" s="578"/>
      <c r="M654" s="583"/>
      <c r="O654" s="307"/>
    </row>
    <row r="655" ht="15" customHeight="1" s="64" customFormat="1">
      <c r="A655" s="470"/>
      <c r="B655" s="471"/>
      <c r="C655" s="472"/>
      <c r="D655" s="472"/>
      <c r="E655" s="472"/>
      <c r="F655" s="473"/>
      <c r="G655" s="474"/>
      <c r="H655" s="474"/>
      <c r="I655" s="474"/>
      <c r="J655" s="475"/>
      <c r="K655" s="472"/>
      <c r="L655" s="476"/>
      <c r="M655" s="477"/>
      <c r="O655" s="307"/>
    </row>
    <row r="656" ht="15" customHeight="1" s="4" customFormat="1">
      <c r="A656" s="40"/>
      <c r="E656" s="312"/>
      <c r="F656" s="312"/>
      <c r="G656" s="312"/>
      <c r="J656" s="133"/>
      <c r="K656" s="313"/>
      <c r="L656" s="312"/>
      <c r="M656" s="312"/>
      <c r="O656" s="307"/>
      <c r="P656" s="367"/>
    </row>
    <row r="657" ht="15" customHeight="1" s="4" customFormat="1">
      <c r="A657" s="40"/>
      <c r="H657" s="133"/>
      <c r="I657" s="313"/>
      <c r="J657" s="312"/>
      <c r="K657" s="312"/>
      <c r="L657" s="312"/>
      <c r="M657" s="312"/>
      <c r="O657" s="307"/>
      <c r="P657" s="64"/>
      <c r="Z657" s="205"/>
      <c r="AB657" s="207"/>
      <c r="AE657" s="207"/>
    </row>
    <row r="658" ht="15" customHeight="1" s="4" customFormat="1">
      <c r="A658" s="40"/>
      <c r="B658" s="19" t="s">
        <v>820</v>
      </c>
      <c r="G658" s="110"/>
      <c r="H658" s="110"/>
      <c r="I658" s="110"/>
      <c r="L658" s="207"/>
      <c r="O658" s="307"/>
      <c r="P658" s="64"/>
      <c r="Z658" s="205"/>
      <c r="AB658" s="207"/>
      <c r="AE658" s="207"/>
    </row>
    <row r="659" ht="15" customHeight="1" s="4" customFormat="1">
      <c r="A659" s="40"/>
      <c r="B659" s="19"/>
      <c r="C659" s="4" t="s">
        <v>821</v>
      </c>
      <c r="G659" s="110"/>
      <c r="H659" s="110"/>
      <c r="I659" s="110"/>
      <c r="L659" s="207"/>
      <c r="O659" s="307"/>
      <c r="P659" s="64"/>
      <c r="Z659" s="205"/>
      <c r="AB659" s="207"/>
      <c r="AE659" s="207"/>
    </row>
    <row r="660" ht="15" customHeight="1" s="4" customFormat="1">
      <c r="A660" s="40"/>
      <c r="B660" s="19"/>
      <c r="G660" s="110"/>
      <c r="H660" s="110"/>
      <c r="I660" s="110"/>
      <c r="L660" s="207"/>
      <c r="O660" s="307"/>
      <c r="P660" s="64"/>
      <c r="Z660" s="205"/>
      <c r="AB660" s="207"/>
      <c r="AE660" s="207"/>
    </row>
    <row r="661" ht="15" customHeight="1" s="4" customFormat="1">
      <c r="A661" s="11"/>
      <c r="B661" s="112" t="s">
        <v>270</v>
      </c>
      <c r="C661" s="19"/>
      <c r="D661" s="314"/>
      <c r="E661" s="315"/>
      <c r="F661" s="109"/>
      <c r="H661" s="110"/>
      <c r="I661" s="110"/>
      <c r="L661" s="207"/>
      <c r="O661" s="307"/>
      <c r="P661" s="64"/>
      <c r="Z661" s="205"/>
      <c r="AA661" s="171"/>
      <c r="AB661" s="207"/>
      <c r="AE661" s="207"/>
    </row>
    <row r="662" ht="15" customHeight="1" s="4" customFormat="1">
      <c r="B662" s="30"/>
      <c r="C662" s="19"/>
      <c r="E662" s="109"/>
      <c r="G662" s="110"/>
      <c r="H662" s="110"/>
      <c r="I662" s="110"/>
      <c r="L662" s="207"/>
      <c r="O662" s="307"/>
      <c r="P662" s="64"/>
      <c r="Z662" s="205"/>
      <c r="AB662" s="207"/>
      <c r="AE662" s="207"/>
    </row>
    <row r="663" ht="20.1" customHeight="1" s="4" customFormat="1">
      <c r="C663" s="47" t="s">
        <v>822</v>
      </c>
      <c r="D663" s="47"/>
      <c r="E663" s="47"/>
      <c r="F663" s="47"/>
      <c r="G663" s="47"/>
      <c r="H663" s="47"/>
      <c r="I663" s="316" t="s">
        <v>823</v>
      </c>
      <c r="J663" s="47"/>
      <c r="K663" s="47"/>
      <c r="L663" s="47"/>
      <c r="O663" s="296"/>
      <c r="P663" s="64"/>
      <c r="Z663" s="205"/>
      <c r="AB663" s="207"/>
      <c r="AE663" s="207"/>
    </row>
    <row r="664" ht="20.1" customHeight="1" s="4" customFormat="1">
      <c r="C664" s="317" t="s">
        <v>824</v>
      </c>
      <c r="I664" s="317" t="s">
        <v>825</v>
      </c>
      <c r="L664" s="207"/>
      <c r="O664" s="296"/>
      <c r="P664" s="64"/>
      <c r="S664" s="207"/>
      <c r="Z664" s="205"/>
      <c r="AB664" s="207"/>
      <c r="AE664" s="207"/>
    </row>
    <row r="665" ht="20.1" customHeight="1" s="4" customFormat="1">
      <c r="C665" s="4" t="s">
        <v>826</v>
      </c>
      <c r="F665" s="4" t="s">
        <v>827</v>
      </c>
      <c r="H665" s="38"/>
      <c r="I665" s="585" t="s">
        <v>276</v>
      </c>
      <c r="J665" s="585"/>
      <c r="K665" s="585"/>
      <c r="L665" s="585"/>
      <c r="O665" s="296"/>
      <c r="P665" s="64"/>
      <c r="Z665" s="205"/>
      <c r="AB665" s="207"/>
      <c r="AE665" s="207"/>
    </row>
    <row r="666" ht="20.1" customHeight="1" s="4" customFormat="1">
      <c r="C666" s="22" t="s">
        <v>828</v>
      </c>
      <c r="D666" s="22"/>
      <c r="E666" s="22"/>
      <c r="F666" s="22" t="s">
        <v>829</v>
      </c>
      <c r="G666" s="22"/>
      <c r="H666" s="318"/>
      <c r="I666" s="507"/>
      <c r="J666" s="507"/>
      <c r="K666" s="507"/>
      <c r="L666" s="507"/>
      <c r="O666" s="296"/>
      <c r="P666" s="64"/>
      <c r="Z666" s="205"/>
      <c r="AB666" s="207"/>
      <c r="AE666" s="207"/>
    </row>
    <row r="667" ht="15" customHeight="1" s="4" customFormat="1">
      <c r="H667" s="38"/>
      <c r="M667" s="207"/>
      <c r="O667" s="296"/>
      <c r="P667" s="368"/>
      <c r="Z667" s="205"/>
      <c r="AB667" s="207"/>
      <c r="AE667" s="207"/>
    </row>
    <row r="668" ht="15" customHeight="1" s="4" customFormat="1">
      <c r="C668" s="205" t="s">
        <v>318</v>
      </c>
      <c r="F668" s="4" t="s">
        <v>830</v>
      </c>
      <c r="L668" s="207"/>
      <c r="M668" s="207"/>
      <c r="O668" s="296"/>
      <c r="P668" s="368"/>
      <c r="Z668" s="205"/>
      <c r="AB668" s="207"/>
      <c r="AE668" s="207"/>
    </row>
    <row r="669" ht="15" customHeight="1" s="4" customFormat="1">
      <c r="A669" s="11"/>
      <c r="B669" s="30"/>
      <c r="C669" s="130" t="s">
        <v>317</v>
      </c>
      <c r="E669" s="109"/>
      <c r="F669" s="4" t="s">
        <v>831</v>
      </c>
      <c r="G669" s="110"/>
      <c r="I669" s="110"/>
      <c r="L669" s="207"/>
      <c r="O669" s="307"/>
      <c r="P669" s="64"/>
      <c r="U669" s="207"/>
      <c r="Z669" s="205"/>
      <c r="AB669" s="207"/>
      <c r="AE669" s="207"/>
    </row>
    <row r="670" ht="15" customHeight="1" s="4" customFormat="1">
      <c r="A670" s="11"/>
      <c r="B670" s="30"/>
      <c r="C670" s="19"/>
      <c r="E670" s="109"/>
      <c r="H670" s="110"/>
      <c r="I670" s="110"/>
      <c r="L670" s="207"/>
      <c r="O670" s="307"/>
      <c r="P670" s="64"/>
      <c r="U670" s="207"/>
      <c r="Z670" s="205"/>
      <c r="AB670" s="207"/>
      <c r="AE670" s="207"/>
    </row>
    <row r="671" ht="15" customHeight="1" s="4" customFormat="1">
      <c r="C671" s="206" t="s">
        <v>197</v>
      </c>
      <c r="D671" s="4" t="s">
        <v>832</v>
      </c>
      <c r="F671" s="19"/>
      <c r="K671" s="105"/>
      <c r="L671" s="207"/>
      <c r="N671" s="234" t="s">
        <v>261</v>
      </c>
      <c r="O671" s="307"/>
      <c r="P671" s="64"/>
      <c r="U671" s="207"/>
      <c r="Z671" s="205"/>
      <c r="AB671" s="207"/>
      <c r="AE671" s="207"/>
    </row>
    <row r="672" ht="20.1" customHeight="1" s="4" customFormat="1">
      <c r="C672" s="11"/>
      <c r="D672" s="46" t="s">
        <v>163</v>
      </c>
      <c r="E672" s="47"/>
      <c r="F672" s="47"/>
      <c r="G672" s="47"/>
      <c r="H672" s="47"/>
      <c r="I672" s="46" t="s">
        <v>262</v>
      </c>
      <c r="J672" s="47"/>
      <c r="K672" s="319"/>
      <c r="L672" s="47"/>
      <c r="M672" s="47"/>
      <c r="O672" s="296"/>
      <c r="P672" s="64"/>
      <c r="U672" s="207"/>
      <c r="Z672" s="205"/>
      <c r="AB672" s="207"/>
      <c r="AE672" s="207"/>
    </row>
    <row r="673" ht="20.1" customHeight="1" s="4" customFormat="1">
      <c r="C673" s="11"/>
      <c r="D673" s="4" t="s">
        <v>263</v>
      </c>
      <c r="I673" s="54">
        <v>1</v>
      </c>
      <c r="K673" s="105"/>
      <c r="O673" s="296"/>
      <c r="P673" s="64"/>
      <c r="U673" s="207"/>
      <c r="Z673" s="205"/>
      <c r="AB673" s="207"/>
      <c r="AE673" s="207"/>
    </row>
    <row r="674" ht="20.1" customHeight="1" s="4" customFormat="1">
      <c r="C674" s="11"/>
      <c r="D674" s="22" t="s">
        <v>167</v>
      </c>
      <c r="E674" s="22"/>
      <c r="F674" s="22"/>
      <c r="G674" s="22"/>
      <c r="H674" s="22"/>
      <c r="I674" s="22" t="s">
        <v>833</v>
      </c>
      <c r="J674" s="22"/>
      <c r="K674" s="320"/>
      <c r="L674" s="22"/>
      <c r="M674" s="22"/>
      <c r="O674" s="296"/>
      <c r="P674" s="64"/>
      <c r="U674" s="207"/>
      <c r="Z674" s="205"/>
      <c r="AB674" s="207"/>
      <c r="AE674" s="207"/>
    </row>
    <row r="675" ht="15" customHeight="1" s="4" customFormat="1">
      <c r="B675" s="30"/>
      <c r="C675" s="19"/>
      <c r="E675" s="109"/>
      <c r="G675" s="110"/>
      <c r="H675" s="110"/>
      <c r="I675" s="110"/>
      <c r="L675" s="207"/>
      <c r="O675" s="307"/>
      <c r="P675" s="64"/>
      <c r="U675" s="207"/>
      <c r="Z675" s="205"/>
      <c r="AB675" s="207"/>
      <c r="AE675" s="207"/>
    </row>
    <row r="676" ht="15" customHeight="1" s="4" customFormat="1">
      <c r="C676" s="19"/>
      <c r="D676" s="56" t="s">
        <v>265</v>
      </c>
      <c r="E676" s="109"/>
      <c r="H676" s="110"/>
      <c r="I676" s="110"/>
      <c r="L676" s="207"/>
      <c r="O676" s="307"/>
      <c r="P676" s="64"/>
      <c r="U676" s="207"/>
      <c r="Z676" s="205"/>
      <c r="AB676" s="207"/>
      <c r="AE676" s="207"/>
    </row>
    <row r="677" ht="15" customHeight="1" s="4" customFormat="1">
      <c r="C677" s="19"/>
      <c r="D677" s="205" t="s">
        <v>266</v>
      </c>
      <c r="E677" s="109"/>
      <c r="H677" s="110"/>
      <c r="I677" s="110"/>
      <c r="L677" s="207"/>
      <c r="O677" s="296"/>
      <c r="P677" s="64"/>
      <c r="U677" s="207"/>
      <c r="Z677" s="205"/>
      <c r="AB677" s="207"/>
      <c r="AE677" s="207"/>
    </row>
    <row r="678" ht="15" customHeight="1" s="4" customFormat="1">
      <c r="C678" s="19"/>
      <c r="D678" s="56" t="s">
        <v>267</v>
      </c>
      <c r="E678" s="109"/>
      <c r="H678" s="110"/>
      <c r="I678" s="110"/>
      <c r="L678" s="207"/>
      <c r="O678" s="296"/>
      <c r="P678" s="64"/>
      <c r="U678" s="207"/>
      <c r="Z678" s="205"/>
      <c r="AB678" s="207"/>
      <c r="AE678" s="207"/>
    </row>
    <row r="679" ht="15" customHeight="1" s="4" customFormat="1">
      <c r="C679" s="19"/>
      <c r="D679" s="4" t="s">
        <v>834</v>
      </c>
      <c r="E679" s="109"/>
      <c r="H679" s="110"/>
      <c r="I679" s="110"/>
      <c r="L679" s="207"/>
      <c r="O679" s="296"/>
      <c r="P679" s="64"/>
      <c r="U679" s="207"/>
      <c r="Z679" s="205"/>
      <c r="AB679" s="207"/>
      <c r="AE679" s="207"/>
    </row>
    <row r="680" ht="15" customHeight="1" s="4" customFormat="1">
      <c r="C680" s="19"/>
      <c r="D680" s="4" t="s">
        <v>835</v>
      </c>
      <c r="E680" s="109"/>
      <c r="H680" s="110"/>
      <c r="I680" s="110"/>
      <c r="L680" s="207"/>
      <c r="O680" s="296"/>
      <c r="P680" s="64"/>
      <c r="U680" s="207"/>
      <c r="Z680" s="205"/>
      <c r="AB680" s="207"/>
      <c r="AE680" s="207"/>
    </row>
    <row r="681" ht="15" customHeight="1" s="4" customFormat="1">
      <c r="C681" s="19"/>
      <c r="E681" s="109"/>
      <c r="H681" s="110"/>
      <c r="I681" s="110"/>
      <c r="L681" s="207"/>
      <c r="O681" s="296"/>
      <c r="P681" s="64"/>
      <c r="U681" s="207"/>
      <c r="Z681" s="205"/>
      <c r="AB681" s="207"/>
      <c r="AE681" s="207"/>
    </row>
    <row r="682" ht="15" customHeight="1" s="4" customFormat="1">
      <c r="C682" s="206" t="s">
        <v>197</v>
      </c>
      <c r="D682" s="4" t="s">
        <v>836</v>
      </c>
      <c r="I682" s="38"/>
      <c r="N682" s="234" t="s">
        <v>186</v>
      </c>
      <c r="O682" s="296"/>
      <c r="P682" s="64"/>
      <c r="U682" s="207"/>
      <c r="Z682" s="205"/>
      <c r="AB682" s="207"/>
      <c r="AE682" s="207"/>
    </row>
    <row r="683" ht="20.1" customHeight="1" s="4" customFormat="1">
      <c r="D683" s="46" t="s">
        <v>163</v>
      </c>
      <c r="E683" s="47"/>
      <c r="F683" s="47"/>
      <c r="G683" s="47"/>
      <c r="H683" s="47"/>
      <c r="I683" s="316"/>
      <c r="J683" s="47"/>
      <c r="K683" s="47"/>
      <c r="L683" s="47" t="s">
        <v>837</v>
      </c>
      <c r="M683" s="47"/>
      <c r="O683" s="296"/>
      <c r="P683" s="64"/>
      <c r="U683" s="207"/>
      <c r="Z683" s="205"/>
      <c r="AB683" s="207"/>
      <c r="AE683" s="207"/>
    </row>
    <row r="684" ht="20.1" customHeight="1" s="4" customFormat="1">
      <c r="D684" s="114" t="s">
        <v>838</v>
      </c>
      <c r="E684" s="114"/>
      <c r="F684" s="114"/>
      <c r="G684" s="114" t="s">
        <v>839</v>
      </c>
      <c r="H684" s="114"/>
      <c r="I684" s="114"/>
      <c r="J684" s="114"/>
      <c r="K684" s="114"/>
      <c r="L684" s="120">
        <v>1</v>
      </c>
      <c r="M684" s="114"/>
      <c r="O684" s="296"/>
      <c r="P684" s="64"/>
      <c r="U684" s="207"/>
      <c r="Z684" s="205"/>
      <c r="AB684" s="207"/>
      <c r="AE684" s="207"/>
    </row>
    <row r="685" ht="20.1" customHeight="1" s="4" customFormat="1">
      <c r="D685" s="4" t="s">
        <v>840</v>
      </c>
      <c r="L685" s="321"/>
      <c r="O685" s="296"/>
      <c r="P685" s="64"/>
      <c r="U685" s="207"/>
      <c r="Z685" s="205"/>
      <c r="AB685" s="207"/>
      <c r="AE685" s="207"/>
    </row>
    <row r="686" ht="20.1" customHeight="1" s="4" customFormat="1">
      <c r="D686" s="4" t="s">
        <v>841</v>
      </c>
      <c r="G686" s="4" t="s">
        <v>839</v>
      </c>
      <c r="L686" s="54">
        <v>1</v>
      </c>
      <c r="O686" s="296"/>
      <c r="P686" s="64"/>
      <c r="U686" s="207"/>
      <c r="Z686" s="205"/>
      <c r="AB686" s="207"/>
      <c r="AE686" s="207"/>
    </row>
    <row r="687" ht="20.1" customHeight="1" s="4" customFormat="1">
      <c r="D687" s="49" t="s">
        <v>842</v>
      </c>
      <c r="E687" s="49"/>
      <c r="F687" s="49"/>
      <c r="G687" s="49"/>
      <c r="H687" s="49"/>
      <c r="I687" s="49"/>
      <c r="J687" s="49"/>
      <c r="K687" s="49"/>
      <c r="L687" s="322"/>
      <c r="M687" s="49"/>
      <c r="O687" s="296"/>
      <c r="P687" s="64"/>
      <c r="U687" s="207"/>
      <c r="Z687" s="205"/>
      <c r="AB687" s="207"/>
      <c r="AE687" s="207"/>
    </row>
    <row r="688" ht="20.1" customHeight="1" s="4" customFormat="1">
      <c r="D688" s="118" t="s">
        <v>843</v>
      </c>
      <c r="E688" s="118"/>
      <c r="F688" s="118"/>
      <c r="G688" s="118" t="s">
        <v>844</v>
      </c>
      <c r="I688" s="118"/>
      <c r="J688" s="118"/>
      <c r="K688" s="118"/>
      <c r="L688" s="323">
        <v>1</v>
      </c>
      <c r="M688" s="118"/>
      <c r="O688" s="296"/>
      <c r="P688" s="64"/>
      <c r="U688" s="207"/>
      <c r="Z688" s="205"/>
      <c r="AB688" s="207"/>
      <c r="AE688" s="207"/>
    </row>
    <row r="689" ht="20.1" customHeight="1" s="4" customFormat="1">
      <c r="D689" s="118" t="s">
        <v>845</v>
      </c>
      <c r="E689" s="118"/>
      <c r="F689" s="118"/>
      <c r="G689" s="118"/>
      <c r="H689" s="118"/>
      <c r="I689" s="324"/>
      <c r="J689" s="118"/>
      <c r="K689" s="118"/>
      <c r="L689" s="323">
        <v>1</v>
      </c>
      <c r="M689" s="118"/>
      <c r="O689" s="296"/>
      <c r="P689" s="64"/>
      <c r="U689" s="207"/>
      <c r="Z689" s="205"/>
      <c r="AB689" s="207"/>
      <c r="AE689" s="207"/>
    </row>
    <row r="690" ht="20.1" customHeight="1" s="4" customFormat="1">
      <c r="D690" s="330" t="s">
        <v>167</v>
      </c>
      <c r="E690" s="330"/>
      <c r="F690" s="117"/>
      <c r="G690" s="117"/>
      <c r="H690" s="117"/>
      <c r="I690" s="117" t="s">
        <v>846</v>
      </c>
      <c r="J690" s="117"/>
      <c r="K690" s="117"/>
      <c r="L690" s="117"/>
      <c r="M690" s="117"/>
      <c r="O690" s="296"/>
      <c r="P690" s="64"/>
      <c r="U690" s="207"/>
      <c r="Z690" s="205"/>
      <c r="AB690" s="207"/>
      <c r="AE690" s="207"/>
    </row>
    <row r="691" ht="15" customHeight="1" s="4" customFormat="1">
      <c r="D691" s="205" t="s">
        <v>847</v>
      </c>
      <c r="E691" s="205"/>
      <c r="I691" s="38"/>
      <c r="O691" s="296"/>
      <c r="P691" s="64"/>
      <c r="U691" s="207"/>
      <c r="Z691" s="205"/>
      <c r="AB691" s="207"/>
      <c r="AE691" s="207"/>
    </row>
    <row r="692" ht="15" customHeight="1" s="4" customFormat="1">
      <c r="C692" s="19"/>
      <c r="E692" s="109"/>
      <c r="H692" s="110"/>
      <c r="I692" s="110"/>
      <c r="L692" s="207"/>
      <c r="O692" s="296"/>
      <c r="P692" s="64"/>
      <c r="U692" s="207"/>
      <c r="Z692" s="205"/>
      <c r="AB692" s="207"/>
      <c r="AE692" s="207"/>
    </row>
    <row r="693" ht="15" customHeight="1" s="4" customFormat="1">
      <c r="C693" s="206" t="s">
        <v>197</v>
      </c>
      <c r="D693" s="22" t="s">
        <v>460</v>
      </c>
      <c r="E693" s="157"/>
      <c r="F693" s="157"/>
      <c r="G693" s="157"/>
      <c r="H693" s="157"/>
      <c r="I693" s="157"/>
      <c r="L693" s="207"/>
      <c r="N693" s="234" t="s">
        <v>446</v>
      </c>
      <c r="O693" s="308"/>
      <c r="P693" s="64"/>
      <c r="Q693" s="207"/>
      <c r="T693" s="207"/>
    </row>
    <row r="694" ht="20.1" customHeight="1" s="4" customFormat="1">
      <c r="D694" s="46" t="s">
        <v>163</v>
      </c>
      <c r="E694" s="46"/>
      <c r="F694" s="46"/>
      <c r="G694" s="46"/>
      <c r="H694" s="46"/>
      <c r="I694" s="46"/>
      <c r="J694" s="46" t="s">
        <v>334</v>
      </c>
      <c r="K694" s="46"/>
      <c r="L694" s="46"/>
      <c r="M694" s="46"/>
      <c r="O694" s="296"/>
      <c r="P694" s="64"/>
      <c r="T694" s="207"/>
    </row>
    <row r="695" ht="15" customHeight="1" s="4" customFormat="1">
      <c r="D695" s="4" t="s">
        <v>465</v>
      </c>
      <c r="E695" s="19"/>
      <c r="F695" s="19"/>
      <c r="G695" s="19"/>
      <c r="H695" s="19"/>
      <c r="I695" s="19"/>
      <c r="J695" s="208">
        <v>7.2</v>
      </c>
      <c r="K695" s="48"/>
      <c r="L695" s="48"/>
      <c r="M695" s="48"/>
      <c r="O695" s="296"/>
      <c r="P695" s="64"/>
      <c r="T695" s="207"/>
    </row>
    <row r="696" ht="15" customHeight="1" s="4" customFormat="1">
      <c r="D696" s="4" t="s">
        <v>466</v>
      </c>
      <c r="E696" s="19"/>
      <c r="F696" s="19"/>
      <c r="G696" s="19"/>
      <c r="H696" s="19"/>
      <c r="I696" s="19"/>
      <c r="J696" s="19"/>
      <c r="K696" s="19"/>
      <c r="L696" s="19"/>
      <c r="M696" s="19"/>
      <c r="O696" s="296"/>
      <c r="P696" s="64"/>
      <c r="T696" s="207"/>
    </row>
    <row r="697" ht="15" customHeight="1" s="4" customFormat="1">
      <c r="F697" s="4" t="s">
        <v>848</v>
      </c>
      <c r="J697" s="4" t="s">
        <v>849</v>
      </c>
      <c r="O697" s="296"/>
      <c r="P697" s="64"/>
      <c r="T697" s="207"/>
    </row>
    <row r="698" ht="15" customHeight="1" s="4" customFormat="1">
      <c r="F698" s="4" t="s">
        <v>467</v>
      </c>
      <c r="J698" s="4" t="s">
        <v>850</v>
      </c>
      <c r="O698" s="296"/>
      <c r="P698" s="64"/>
    </row>
    <row r="699" ht="15" customHeight="1" s="4" customFormat="1">
      <c r="D699" s="22"/>
      <c r="E699" s="22"/>
      <c r="F699" s="22" t="s">
        <v>851</v>
      </c>
      <c r="G699" s="22"/>
      <c r="H699" s="22"/>
      <c r="I699" s="22"/>
      <c r="J699" s="22" t="s">
        <v>852</v>
      </c>
      <c r="K699" s="22"/>
      <c r="L699" s="22"/>
      <c r="M699" s="22"/>
      <c r="O699" s="296"/>
      <c r="P699" s="64"/>
    </row>
    <row r="700" ht="15" customHeight="1" s="4" customFormat="1">
      <c r="B700" s="30"/>
      <c r="C700" s="19"/>
      <c r="D700" s="4" t="s">
        <v>853</v>
      </c>
      <c r="E700" s="109"/>
      <c r="G700" s="110"/>
      <c r="H700" s="110"/>
      <c r="I700" s="110"/>
      <c r="L700" s="207"/>
      <c r="O700" s="307"/>
      <c r="P700" s="64"/>
      <c r="Z700" s="205"/>
      <c r="AB700" s="207"/>
      <c r="AE700" s="207"/>
    </row>
    <row r="701" ht="15" customHeight="1" s="4" customFormat="1">
      <c r="B701" s="30"/>
      <c r="C701" s="19"/>
      <c r="E701" s="109"/>
      <c r="G701" s="110"/>
      <c r="H701" s="110"/>
      <c r="I701" s="110"/>
      <c r="L701" s="207"/>
      <c r="O701" s="307"/>
      <c r="P701" s="64"/>
      <c r="Z701" s="205"/>
      <c r="AB701" s="207"/>
      <c r="AE701" s="207"/>
    </row>
    <row r="702" ht="15" customHeight="1" s="4" customFormat="1">
      <c r="B702" s="30"/>
      <c r="C702" s="206" t="s">
        <v>197</v>
      </c>
      <c r="D702" s="22" t="s">
        <v>854</v>
      </c>
      <c r="G702" s="207"/>
      <c r="I702" s="152"/>
      <c r="K702" s="205"/>
      <c r="N702" s="234" t="s">
        <v>186</v>
      </c>
      <c r="O702" s="307"/>
      <c r="P702" s="64"/>
      <c r="Z702" s="205"/>
      <c r="AB702" s="207"/>
      <c r="AE702" s="207"/>
    </row>
    <row r="703" ht="20.1" customHeight="1" s="4" customFormat="1">
      <c r="B703" s="30"/>
      <c r="C703" s="19"/>
      <c r="D703" s="46" t="s">
        <v>163</v>
      </c>
      <c r="E703" s="46"/>
      <c r="F703" s="46"/>
      <c r="G703" s="46"/>
      <c r="H703" s="46"/>
      <c r="I703" s="46"/>
      <c r="J703" s="46" t="s">
        <v>855</v>
      </c>
      <c r="K703" s="46"/>
      <c r="L703" s="46"/>
      <c r="M703" s="46"/>
      <c r="O703" s="296"/>
      <c r="P703" s="64"/>
      <c r="AE703" s="207"/>
    </row>
    <row r="704" ht="20.1" customHeight="1" s="4" customFormat="1">
      <c r="B704" s="30"/>
      <c r="C704" s="19"/>
      <c r="D704" s="4" t="s">
        <v>844</v>
      </c>
      <c r="I704" s="584" t="s">
        <v>856</v>
      </c>
      <c r="J704" s="584"/>
      <c r="K704" s="584"/>
      <c r="L704" s="584"/>
      <c r="O704" s="296"/>
      <c r="P704" s="64"/>
      <c r="AE704" s="207"/>
    </row>
    <row r="705" ht="20.1" customHeight="1" s="4" customFormat="1">
      <c r="B705" s="30"/>
      <c r="C705" s="19"/>
      <c r="D705" s="49" t="s">
        <v>590</v>
      </c>
      <c r="E705" s="49"/>
      <c r="F705" s="49"/>
      <c r="G705" s="49"/>
      <c r="H705" s="49"/>
      <c r="I705" s="49" t="s">
        <v>857</v>
      </c>
      <c r="J705" s="51"/>
      <c r="K705" s="49"/>
      <c r="L705" s="49"/>
      <c r="O705" s="296"/>
      <c r="P705" s="64"/>
      <c r="AE705" s="207"/>
    </row>
    <row r="706" ht="20.1" customHeight="1" s="4" customFormat="1">
      <c r="B706" s="30"/>
      <c r="C706" s="19"/>
      <c r="D706" s="22" t="s">
        <v>167</v>
      </c>
      <c r="E706" s="22"/>
      <c r="F706" s="22"/>
      <c r="G706" s="22"/>
      <c r="H706" s="22"/>
      <c r="I706" s="22"/>
      <c r="J706" s="22" t="s">
        <v>858</v>
      </c>
      <c r="K706" s="22"/>
      <c r="L706" s="22"/>
      <c r="M706" s="117"/>
      <c r="O706" s="296"/>
      <c r="P706" s="64"/>
      <c r="AE706" s="207"/>
    </row>
    <row r="707" ht="15" customHeight="1" s="4" customFormat="1">
      <c r="C707" s="19"/>
      <c r="D707" s="4" t="s">
        <v>859</v>
      </c>
      <c r="E707" s="109"/>
      <c r="G707" s="110"/>
      <c r="H707" s="110"/>
      <c r="I707" s="110"/>
      <c r="L707" s="207"/>
      <c r="O707" s="307"/>
      <c r="P707" s="64"/>
      <c r="Z707" s="205"/>
      <c r="AB707" s="207"/>
      <c r="AE707" s="207"/>
    </row>
    <row r="708" ht="15" customHeight="1" s="4" customFormat="1">
      <c r="C708" s="19"/>
      <c r="D708" s="325" t="s">
        <v>860</v>
      </c>
      <c r="E708" s="109"/>
      <c r="G708" s="110"/>
      <c r="I708" s="110"/>
      <c r="L708" s="207"/>
      <c r="O708" s="307"/>
      <c r="P708" s="64"/>
      <c r="Z708" s="205"/>
      <c r="AB708" s="207"/>
      <c r="AE708" s="207"/>
    </row>
    <row r="709" ht="15" customHeight="1" s="4" customFormat="1">
      <c r="C709" s="19"/>
      <c r="E709" s="109"/>
      <c r="G709" s="110"/>
      <c r="H709" s="110"/>
      <c r="I709" s="110"/>
      <c r="L709" s="207"/>
      <c r="O709" s="307"/>
      <c r="P709" s="64"/>
      <c r="Z709" s="205"/>
      <c r="AB709" s="207"/>
      <c r="AE709" s="207"/>
    </row>
    <row r="710" ht="15" customHeight="1" s="4" customFormat="1">
      <c r="C710" s="206" t="s">
        <v>197</v>
      </c>
      <c r="D710" s="4" t="s">
        <v>861</v>
      </c>
      <c r="E710" s="105"/>
      <c r="F710" s="19"/>
      <c r="G710" s="105"/>
      <c r="H710" s="105"/>
      <c r="I710" s="105"/>
      <c r="L710" s="207"/>
      <c r="N710" s="234" t="s">
        <v>303</v>
      </c>
      <c r="O710" s="296"/>
      <c r="P710" s="64"/>
      <c r="Y710" s="207"/>
      <c r="AD710" s="207"/>
      <c r="AF710" s="207"/>
    </row>
    <row r="711" ht="20.1" customHeight="1" s="4" customFormat="1">
      <c r="D711" s="46" t="s">
        <v>163</v>
      </c>
      <c r="E711" s="47"/>
      <c r="F711" s="47"/>
      <c r="G711" s="47"/>
      <c r="H711" s="47"/>
      <c r="I711" s="47"/>
      <c r="J711" s="46" t="s">
        <v>304</v>
      </c>
      <c r="K711" s="47"/>
      <c r="L711" s="47"/>
      <c r="M711" s="47"/>
      <c r="O711" s="296"/>
      <c r="P711" s="64"/>
      <c r="Y711" s="207"/>
      <c r="AD711" s="207"/>
      <c r="AF711" s="207"/>
    </row>
    <row r="712" ht="20.1" customHeight="1" s="4" customFormat="1">
      <c r="D712" s="114" t="s">
        <v>862</v>
      </c>
      <c r="E712" s="114"/>
      <c r="F712" s="114"/>
      <c r="G712" s="114"/>
      <c r="H712" s="114"/>
      <c r="I712" s="114"/>
      <c r="J712" s="114" t="s">
        <v>863</v>
      </c>
      <c r="K712" s="114"/>
      <c r="L712" s="114"/>
      <c r="M712" s="114"/>
      <c r="O712" s="296"/>
      <c r="P712" s="64"/>
      <c r="Y712" s="207"/>
      <c r="AD712" s="207"/>
      <c r="AF712" s="207"/>
    </row>
    <row r="713" ht="20.1" customHeight="1" s="4" customFormat="1">
      <c r="D713" s="115" t="s">
        <v>864</v>
      </c>
      <c r="E713" s="331"/>
      <c r="F713" s="115"/>
      <c r="I713" s="115" t="s">
        <v>308</v>
      </c>
      <c r="O713" s="296"/>
      <c r="P713" s="64"/>
      <c r="Y713" s="207"/>
      <c r="AD713" s="207"/>
      <c r="AF713" s="207"/>
    </row>
    <row r="714" ht="20.1" customHeight="1" s="4" customFormat="1">
      <c r="D714" s="326" t="s">
        <v>865</v>
      </c>
      <c r="E714" s="117"/>
      <c r="F714" s="117"/>
      <c r="G714" s="117"/>
      <c r="H714" s="117"/>
      <c r="I714" s="117"/>
      <c r="J714" s="117" t="s">
        <v>866</v>
      </c>
      <c r="K714" s="117"/>
      <c r="L714" s="117"/>
      <c r="M714" s="117"/>
      <c r="O714" s="296"/>
      <c r="P714" s="64"/>
      <c r="Y714" s="207"/>
      <c r="AD714" s="207"/>
      <c r="AF714" s="207"/>
    </row>
    <row r="715" ht="15" customHeight="1" s="4" customFormat="1">
      <c r="F715" s="207"/>
      <c r="H715" s="207"/>
      <c r="L715" s="207"/>
      <c r="O715" s="296"/>
      <c r="P715" s="64"/>
      <c r="Y715" s="207"/>
      <c r="AD715" s="207"/>
      <c r="AF715" s="207"/>
    </row>
    <row r="716" ht="15" customHeight="1" s="4" customFormat="1">
      <c r="D716" s="172" t="s">
        <v>311</v>
      </c>
      <c r="F716" s="4" t="s">
        <v>312</v>
      </c>
      <c r="G716" s="207"/>
      <c r="I716" s="207"/>
      <c r="K716" s="207"/>
      <c r="L716" s="207"/>
      <c r="O716" s="296"/>
      <c r="P716" s="64"/>
      <c r="Y716" s="207"/>
      <c r="AD716" s="207"/>
      <c r="AF716" s="207"/>
    </row>
    <row r="717" ht="15" customHeight="1" s="4" customFormat="1">
      <c r="D717" s="172" t="s">
        <v>313</v>
      </c>
      <c r="F717" s="4" t="s">
        <v>314</v>
      </c>
      <c r="G717" s="207"/>
      <c r="I717" s="207"/>
      <c r="K717" s="207"/>
      <c r="L717" s="207"/>
      <c r="O717" s="296"/>
      <c r="P717" s="64"/>
      <c r="Y717" s="207"/>
      <c r="AD717" s="207"/>
      <c r="AF717" s="207"/>
    </row>
    <row r="718" ht="15" customHeight="1" s="4" customFormat="1">
      <c r="A718" s="11"/>
      <c r="D718" s="162" t="s">
        <v>315</v>
      </c>
      <c r="G718" s="207"/>
      <c r="I718" s="130" t="s">
        <v>316</v>
      </c>
      <c r="K718" s="207"/>
      <c r="L718" s="207"/>
      <c r="O718" s="296"/>
      <c r="P718" s="64"/>
      <c r="Y718" s="207"/>
      <c r="AD718" s="207"/>
      <c r="AF718" s="207"/>
    </row>
    <row r="719" ht="15" customHeight="1" s="4" customFormat="1">
      <c r="A719" s="11"/>
      <c r="D719" s="4" t="s">
        <v>867</v>
      </c>
      <c r="F719" s="207"/>
      <c r="H719" s="207"/>
      <c r="J719" s="207"/>
      <c r="L719" s="207"/>
      <c r="O719" s="296"/>
      <c r="P719" s="64"/>
      <c r="Y719" s="207"/>
      <c r="AD719" s="207"/>
      <c r="AF719" s="207"/>
    </row>
    <row r="720" ht="15" customHeight="1" s="4" customFormat="1">
      <c r="A720" s="11"/>
      <c r="G720" s="207"/>
      <c r="J720" s="207"/>
      <c r="L720" s="207"/>
      <c r="O720" s="296"/>
      <c r="P720" s="64"/>
      <c r="Y720" s="207"/>
      <c r="AD720" s="207"/>
      <c r="AF720" s="207"/>
    </row>
    <row r="721" ht="15" customHeight="1" s="4" customFormat="1">
      <c r="A721" s="11"/>
      <c r="D721" s="130" t="s">
        <v>317</v>
      </c>
      <c r="F721" s="207"/>
      <c r="H721" s="207"/>
      <c r="I721" s="205" t="s">
        <v>318</v>
      </c>
      <c r="J721" s="207"/>
      <c r="L721" s="207"/>
      <c r="O721" s="296"/>
      <c r="P721" s="64"/>
      <c r="Y721" s="207"/>
      <c r="AD721" s="207"/>
      <c r="AF721" s="207"/>
    </row>
    <row r="722" ht="15" customHeight="1" s="4" customFormat="1">
      <c r="A722" s="11"/>
      <c r="F722" s="207"/>
      <c r="H722" s="207"/>
      <c r="J722" s="207"/>
      <c r="L722" s="207"/>
      <c r="O722" s="296"/>
      <c r="P722" s="64"/>
      <c r="Y722" s="207"/>
      <c r="AD722" s="207"/>
      <c r="AF722" s="207"/>
    </row>
    <row r="723" ht="15" customHeight="1" s="4" customFormat="1">
      <c r="A723" s="11"/>
      <c r="D723" s="4" t="s">
        <v>319</v>
      </c>
      <c r="E723" s="30" t="s">
        <v>173</v>
      </c>
      <c r="F723" s="4" t="s">
        <v>320</v>
      </c>
      <c r="H723" s="207"/>
      <c r="J723" s="207"/>
      <c r="L723" s="207"/>
      <c r="O723" s="296"/>
      <c r="P723" s="64"/>
      <c r="Y723" s="207"/>
      <c r="AD723" s="207"/>
      <c r="AF723" s="207"/>
    </row>
    <row r="724" ht="15" customHeight="1" s="4" customFormat="1">
      <c r="A724" s="11"/>
      <c r="D724" s="4" t="s">
        <v>321</v>
      </c>
      <c r="E724" s="30" t="s">
        <v>173</v>
      </c>
      <c r="F724" s="4" t="s">
        <v>322</v>
      </c>
      <c r="H724" s="207"/>
      <c r="J724" s="207"/>
      <c r="L724" s="207"/>
      <c r="O724" s="296"/>
      <c r="P724" s="64"/>
      <c r="Y724" s="207"/>
      <c r="AD724" s="207"/>
      <c r="AF724" s="207"/>
    </row>
    <row r="725" ht="15" customHeight="1" s="4" customFormat="1">
      <c r="A725" s="11"/>
      <c r="D725" s="4" t="s">
        <v>32</v>
      </c>
      <c r="E725" s="30" t="s">
        <v>173</v>
      </c>
      <c r="F725" s="4" t="s">
        <v>323</v>
      </c>
      <c r="H725" s="207"/>
      <c r="J725" s="207"/>
      <c r="L725" s="207"/>
      <c r="O725" s="296"/>
      <c r="P725" s="64"/>
      <c r="Y725" s="207"/>
      <c r="AD725" s="207"/>
      <c r="AF725" s="207"/>
    </row>
    <row r="726" ht="15" customHeight="1" s="4" customFormat="1">
      <c r="A726" s="11"/>
      <c r="F726" s="205" t="s">
        <v>324</v>
      </c>
      <c r="H726" s="207"/>
      <c r="J726" s="207"/>
      <c r="L726" s="207"/>
      <c r="O726" s="296"/>
      <c r="P726" s="64"/>
      <c r="Y726" s="207"/>
    </row>
    <row r="727" ht="15" customHeight="1" s="4" customFormat="1">
      <c r="A727" s="11"/>
      <c r="F727" s="207"/>
      <c r="H727" s="207"/>
      <c r="J727" s="207"/>
      <c r="L727" s="207"/>
      <c r="O727" s="296"/>
      <c r="P727" s="64"/>
      <c r="Y727" s="207"/>
    </row>
    <row r="728" ht="15" customHeight="1" s="4" customFormat="1">
      <c r="C728" s="206" t="s">
        <v>197</v>
      </c>
      <c r="D728" s="4" t="s">
        <v>868</v>
      </c>
      <c r="E728" s="105"/>
      <c r="F728" s="19"/>
      <c r="G728" s="105"/>
      <c r="H728" s="105"/>
      <c r="I728" s="105"/>
      <c r="N728" s="234" t="s">
        <v>303</v>
      </c>
      <c r="O728" s="296"/>
      <c r="P728" s="64"/>
    </row>
    <row r="729" ht="20.1" customHeight="1" s="4" customFormat="1">
      <c r="D729" s="46" t="s">
        <v>163</v>
      </c>
      <c r="E729" s="47"/>
      <c r="F729" s="46"/>
      <c r="G729" s="46"/>
      <c r="H729" s="47"/>
      <c r="I729" s="47"/>
      <c r="J729" s="46" t="s">
        <v>326</v>
      </c>
      <c r="K729" s="47"/>
      <c r="L729" s="47"/>
      <c r="M729" s="47"/>
      <c r="O729" s="296"/>
      <c r="P729" s="64"/>
    </row>
    <row r="730" ht="20.1" customHeight="1" s="4" customFormat="1">
      <c r="C730" s="11"/>
      <c r="D730" s="48" t="s">
        <v>869</v>
      </c>
      <c r="E730" s="48"/>
      <c r="F730" s="48"/>
      <c r="G730" s="48"/>
      <c r="H730" s="48"/>
      <c r="I730" s="48"/>
      <c r="J730" s="48" t="s">
        <v>328</v>
      </c>
      <c r="K730" s="48"/>
      <c r="L730" s="48"/>
      <c r="M730" s="48"/>
      <c r="O730" s="296"/>
      <c r="P730" s="64"/>
    </row>
    <row r="731" ht="20.1" customHeight="1" s="4" customFormat="1">
      <c r="D731" s="118" t="s">
        <v>870</v>
      </c>
      <c r="E731" s="118"/>
      <c r="F731" s="119"/>
      <c r="G731" s="118"/>
      <c r="H731" s="118"/>
      <c r="I731" s="118"/>
      <c r="J731" s="118" t="s">
        <v>871</v>
      </c>
      <c r="K731" s="118"/>
      <c r="L731" s="118"/>
      <c r="M731" s="118"/>
      <c r="O731" s="296"/>
      <c r="P731" s="64"/>
    </row>
    <row r="732" ht="20.1" customHeight="1" s="4" customFormat="1">
      <c r="D732" s="22" t="s">
        <v>872</v>
      </c>
      <c r="E732" s="22"/>
      <c r="F732" s="22"/>
      <c r="G732" s="22"/>
      <c r="H732" s="22"/>
      <c r="I732" s="22"/>
      <c r="J732" s="22" t="s">
        <v>873</v>
      </c>
      <c r="K732" s="22"/>
      <c r="L732" s="22"/>
      <c r="M732" s="22"/>
      <c r="O732" s="296"/>
      <c r="P732" s="64"/>
    </row>
    <row r="733" ht="15" customHeight="1" s="4" customFormat="1">
      <c r="G733" s="38"/>
      <c r="L733" s="207"/>
      <c r="O733" s="296"/>
      <c r="P733" s="64"/>
      <c r="Y733" s="207"/>
    </row>
    <row r="734" ht="15" customHeight="1" s="4" customFormat="1">
      <c r="C734" s="206" t="s">
        <v>197</v>
      </c>
      <c r="D734" s="22" t="s">
        <v>874</v>
      </c>
      <c r="E734" s="22"/>
      <c r="F734" s="22"/>
      <c r="G734" s="22"/>
      <c r="H734" s="22"/>
      <c r="I734" s="22"/>
      <c r="J734" s="22"/>
      <c r="K734" s="22"/>
      <c r="L734" s="22"/>
      <c r="M734" s="22"/>
      <c r="N734" s="204"/>
      <c r="O734" s="296"/>
      <c r="P734" s="64"/>
      <c r="AD734" s="207"/>
      <c r="AF734" s="207"/>
    </row>
    <row r="735" ht="20.1" customHeight="1" s="4" customFormat="1">
      <c r="D735" s="46" t="s">
        <v>163</v>
      </c>
      <c r="E735" s="46"/>
      <c r="F735" s="47"/>
      <c r="G735" s="46" t="s">
        <v>334</v>
      </c>
      <c r="H735" s="47"/>
      <c r="I735" s="47"/>
      <c r="J735" s="47"/>
      <c r="K735" s="47" t="s">
        <v>335</v>
      </c>
      <c r="L735" s="47"/>
      <c r="M735" s="47"/>
      <c r="N735" s="296"/>
      <c r="O735" s="296"/>
      <c r="P735" s="64"/>
      <c r="AC735" s="207"/>
      <c r="AE735" s="207"/>
    </row>
    <row r="736" ht="20.1" customHeight="1" s="4" customFormat="1">
      <c r="D736" s="114" t="s">
        <v>336</v>
      </c>
      <c r="E736" s="114"/>
      <c r="F736" s="114"/>
      <c r="G736" s="120">
        <v>4</v>
      </c>
      <c r="H736" s="114"/>
      <c r="I736" s="114"/>
      <c r="J736" s="114"/>
      <c r="K736" s="121">
        <v>5.34</v>
      </c>
      <c r="L736" s="114"/>
      <c r="M736" s="114"/>
      <c r="N736" s="114"/>
      <c r="O736" s="296"/>
      <c r="P736" s="64"/>
      <c r="AC736" s="207"/>
      <c r="AE736" s="207"/>
    </row>
    <row r="737" ht="20.1" customHeight="1" s="4" customFormat="1">
      <c r="D737" s="521" t="s">
        <v>339</v>
      </c>
      <c r="E737" s="521"/>
      <c r="F737" s="115" t="s">
        <v>337</v>
      </c>
      <c r="G737" s="115" t="s">
        <v>875</v>
      </c>
      <c r="H737" s="115"/>
      <c r="I737" s="115"/>
      <c r="J737" s="115"/>
      <c r="K737" s="117" t="s">
        <v>340</v>
      </c>
      <c r="L737" s="117"/>
      <c r="M737" s="117"/>
      <c r="N737" s="600" t="s">
        <v>341</v>
      </c>
      <c r="O737" s="296"/>
      <c r="P737" s="64"/>
      <c r="AC737" s="207"/>
      <c r="AE737" s="207"/>
    </row>
    <row r="738" ht="20.1" customHeight="1" s="4" customFormat="1">
      <c r="D738" s="507"/>
      <c r="E738" s="507"/>
      <c r="F738" s="22" t="s">
        <v>342</v>
      </c>
      <c r="G738" s="22" t="s">
        <v>876</v>
      </c>
      <c r="H738" s="22"/>
      <c r="I738" s="22"/>
      <c r="J738" s="22"/>
      <c r="K738" s="126" t="s">
        <v>344</v>
      </c>
      <c r="L738" s="126"/>
      <c r="M738" s="126"/>
      <c r="N738" s="601"/>
      <c r="O738" s="296"/>
      <c r="P738" s="64"/>
      <c r="AC738" s="207"/>
      <c r="AE738" s="207"/>
    </row>
    <row r="739" ht="15" customHeight="1" s="4" customFormat="1">
      <c r="D739" s="4" t="s">
        <v>877</v>
      </c>
      <c r="E739" s="30" t="s">
        <v>173</v>
      </c>
      <c r="F739" s="4" t="s">
        <v>346</v>
      </c>
      <c r="G739" s="38"/>
      <c r="L739" s="207"/>
      <c r="O739" s="296"/>
      <c r="P739" s="64"/>
      <c r="Y739" s="207"/>
      <c r="AB739" s="207"/>
      <c r="AE739" s="207"/>
    </row>
    <row r="740" ht="15" customHeight="1" s="4" customFormat="1">
      <c r="D740" s="205" t="s">
        <v>878</v>
      </c>
      <c r="E740" s="30" t="s">
        <v>173</v>
      </c>
      <c r="F740" s="205" t="s">
        <v>348</v>
      </c>
      <c r="G740" s="38"/>
      <c r="L740" s="207"/>
      <c r="O740" s="296"/>
      <c r="P740" s="64"/>
      <c r="Y740" s="207"/>
      <c r="AB740" s="207"/>
      <c r="AE740" s="207"/>
    </row>
    <row r="741" ht="15" customHeight="1" s="4" customFormat="1">
      <c r="C741" s="19"/>
      <c r="D741" s="4" t="s">
        <v>879</v>
      </c>
      <c r="E741" s="30" t="s">
        <v>173</v>
      </c>
      <c r="F741" s="4" t="s">
        <v>472</v>
      </c>
      <c r="G741" s="110"/>
      <c r="H741" s="110"/>
      <c r="I741" s="110"/>
      <c r="L741" s="207"/>
      <c r="O741" s="307"/>
      <c r="P741" s="64"/>
      <c r="Z741" s="205"/>
      <c r="AB741" s="207"/>
      <c r="AE741" s="207"/>
    </row>
    <row r="742" ht="15" customHeight="1" s="4" customFormat="1">
      <c r="C742" s="19"/>
      <c r="D742" s="4" t="s">
        <v>474</v>
      </c>
      <c r="E742" s="30" t="s">
        <v>173</v>
      </c>
      <c r="F742" s="4" t="s">
        <v>475</v>
      </c>
      <c r="G742" s="110"/>
      <c r="H742" s="110"/>
      <c r="I742" s="110"/>
      <c r="L742" s="207"/>
      <c r="O742" s="307"/>
      <c r="P742" s="64"/>
      <c r="Z742" s="205"/>
      <c r="AB742" s="207"/>
      <c r="AE742" s="207"/>
    </row>
    <row r="743" ht="15" customHeight="1" s="4" customFormat="1">
      <c r="C743" s="19"/>
      <c r="D743" s="4" t="s">
        <v>32</v>
      </c>
      <c r="E743" s="30" t="s">
        <v>173</v>
      </c>
      <c r="F743" s="4" t="s">
        <v>880</v>
      </c>
      <c r="G743" s="110"/>
      <c r="H743" s="110"/>
      <c r="I743" s="110"/>
      <c r="L743" s="207"/>
      <c r="O743" s="307"/>
      <c r="P743" s="64"/>
      <c r="Z743" s="205"/>
      <c r="AB743" s="207"/>
      <c r="AE743" s="207"/>
    </row>
    <row r="744" ht="15" customHeight="1" s="4" customFormat="1">
      <c r="C744" s="19"/>
      <c r="F744" s="4" t="s">
        <v>881</v>
      </c>
      <c r="G744" s="110"/>
      <c r="H744" s="110"/>
      <c r="I744" s="110"/>
      <c r="L744" s="207"/>
      <c r="O744" s="307"/>
      <c r="P744" s="64"/>
      <c r="Z744" s="205"/>
      <c r="AB744" s="207"/>
      <c r="AE744" s="207"/>
    </row>
    <row r="745" ht="15" customHeight="1" s="4" customFormat="1">
      <c r="C745" s="19"/>
      <c r="G745" s="110"/>
      <c r="H745" s="110"/>
      <c r="I745" s="110"/>
      <c r="L745" s="207"/>
      <c r="O745" s="307"/>
      <c r="P745" s="64"/>
      <c r="Z745" s="205"/>
      <c r="AB745" s="207"/>
      <c r="AE745" s="207"/>
    </row>
    <row r="746" ht="15" customHeight="1" s="4" customFormat="1">
      <c r="B746" s="112" t="s">
        <v>882</v>
      </c>
      <c r="C746" s="19"/>
      <c r="G746" s="110"/>
      <c r="H746" s="110"/>
      <c r="I746" s="110"/>
      <c r="L746" s="207"/>
      <c r="N746" s="234" t="s">
        <v>883</v>
      </c>
      <c r="O746" s="307"/>
      <c r="P746" s="64"/>
      <c r="Z746" s="205"/>
      <c r="AB746" s="207"/>
      <c r="AE746" s="207"/>
    </row>
    <row r="747" ht="15" customHeight="1" s="4" customFormat="1">
      <c r="B747" s="206" t="s">
        <v>197</v>
      </c>
      <c r="C747" s="4" t="s">
        <v>884</v>
      </c>
      <c r="G747" s="110"/>
      <c r="H747" s="110"/>
      <c r="I747" s="110"/>
      <c r="L747" s="207"/>
      <c r="O747" s="307"/>
      <c r="P747" s="64"/>
      <c r="Z747" s="205"/>
      <c r="AB747" s="207"/>
      <c r="AE747" s="207"/>
    </row>
    <row r="748" ht="20.1" customHeight="1" s="4" customFormat="1">
      <c r="C748" s="46" t="s">
        <v>163</v>
      </c>
      <c r="D748" s="46"/>
      <c r="E748" s="327"/>
      <c r="F748" s="46"/>
      <c r="G748" s="46"/>
      <c r="H748" s="46" t="s">
        <v>885</v>
      </c>
      <c r="I748" s="327"/>
      <c r="J748" s="327"/>
      <c r="K748" s="327"/>
      <c r="L748" s="327"/>
      <c r="M748" s="327"/>
      <c r="O748" s="296"/>
      <c r="P748" s="64"/>
      <c r="Z748" s="205"/>
      <c r="AB748" s="207"/>
      <c r="AE748" s="207"/>
    </row>
    <row r="749" ht="20.1" customHeight="1" s="4" customFormat="1">
      <c r="C749" s="4" t="s">
        <v>886</v>
      </c>
      <c r="E749" s="38"/>
      <c r="H749" s="4" t="s">
        <v>887</v>
      </c>
      <c r="I749" s="38"/>
      <c r="J749" s="38"/>
      <c r="K749" s="38"/>
      <c r="L749" s="38"/>
      <c r="M749" s="38"/>
      <c r="O749" s="296"/>
      <c r="P749" s="64"/>
      <c r="Z749" s="205"/>
      <c r="AB749" s="207"/>
      <c r="AE749" s="207"/>
    </row>
    <row r="750" ht="20.1" customHeight="1" s="4" customFormat="1">
      <c r="C750" s="22" t="s">
        <v>167</v>
      </c>
      <c r="D750" s="22"/>
      <c r="E750" s="318"/>
      <c r="F750" s="22"/>
      <c r="G750" s="22"/>
      <c r="H750" s="22" t="s">
        <v>888</v>
      </c>
      <c r="I750" s="318"/>
      <c r="J750" s="318"/>
      <c r="K750" s="318"/>
      <c r="L750" s="318"/>
      <c r="M750" s="318"/>
      <c r="O750" s="296"/>
      <c r="P750" s="64"/>
      <c r="Z750" s="205"/>
      <c r="AB750" s="207"/>
      <c r="AE750" s="207"/>
    </row>
    <row r="751" ht="15" customHeight="1" s="4" customFormat="1">
      <c r="E751" s="38"/>
      <c r="I751" s="38"/>
      <c r="J751" s="38"/>
      <c r="K751" s="38"/>
      <c r="L751" s="38"/>
      <c r="M751" s="38"/>
      <c r="O751" s="296"/>
      <c r="P751" s="64"/>
      <c r="Z751" s="205"/>
      <c r="AB751" s="207"/>
      <c r="AE751" s="207"/>
    </row>
    <row r="752" ht="15" customHeight="1" s="4" customFormat="1">
      <c r="B752" s="206" t="s">
        <v>197</v>
      </c>
      <c r="C752" s="4" t="s">
        <v>889</v>
      </c>
      <c r="H752" s="207"/>
      <c r="K752" s="106"/>
      <c r="O752" s="296"/>
      <c r="P752" s="64"/>
      <c r="Z752" s="205"/>
      <c r="AB752" s="207"/>
      <c r="AE752" s="207"/>
    </row>
    <row r="753" ht="20.1" customHeight="1" s="4" customFormat="1">
      <c r="C753" s="46" t="s">
        <v>163</v>
      </c>
      <c r="D753" s="46"/>
      <c r="E753" s="327"/>
      <c r="F753" s="46"/>
      <c r="G753" s="46"/>
      <c r="H753" s="46" t="s">
        <v>885</v>
      </c>
      <c r="I753" s="327"/>
      <c r="J753" s="327"/>
      <c r="K753" s="327"/>
      <c r="L753" s="327"/>
      <c r="M753" s="327"/>
      <c r="O753" s="296"/>
      <c r="P753" s="64"/>
      <c r="Z753" s="205"/>
      <c r="AB753" s="207"/>
      <c r="AE753" s="207"/>
    </row>
    <row r="754" ht="20.1" customHeight="1" s="4" customFormat="1">
      <c r="C754" s="4" t="s">
        <v>886</v>
      </c>
      <c r="E754" s="38"/>
      <c r="H754" s="4" t="s">
        <v>887</v>
      </c>
      <c r="I754" s="38"/>
      <c r="J754" s="38"/>
      <c r="K754" s="38"/>
      <c r="L754" s="38"/>
      <c r="M754" s="38"/>
      <c r="O754" s="296"/>
      <c r="P754" s="64"/>
      <c r="Z754" s="205"/>
      <c r="AB754" s="207"/>
      <c r="AE754" s="207"/>
    </row>
    <row r="755" ht="20.1" customHeight="1" s="4" customFormat="1">
      <c r="C755" s="4" t="s">
        <v>890</v>
      </c>
      <c r="E755" s="38"/>
      <c r="H755" s="4" t="s">
        <v>891</v>
      </c>
      <c r="I755" s="38"/>
      <c r="J755" s="38"/>
      <c r="K755" s="38"/>
      <c r="L755" s="38"/>
      <c r="M755" s="38"/>
      <c r="O755" s="296"/>
      <c r="P755" s="64"/>
      <c r="Z755" s="205"/>
      <c r="AB755" s="207"/>
      <c r="AE755" s="207"/>
    </row>
    <row r="756" ht="20.1" customHeight="1" s="4" customFormat="1">
      <c r="C756" s="22" t="s">
        <v>167</v>
      </c>
      <c r="D756" s="22"/>
      <c r="E756" s="318"/>
      <c r="F756" s="22"/>
      <c r="G756" s="22"/>
      <c r="H756" s="22" t="s">
        <v>892</v>
      </c>
      <c r="I756" s="318"/>
      <c r="J756" s="318"/>
      <c r="K756" s="318"/>
      <c r="L756" s="318"/>
      <c r="M756" s="318"/>
      <c r="O756" s="296"/>
      <c r="P756" s="64"/>
      <c r="Z756" s="205"/>
      <c r="AB756" s="207"/>
      <c r="AE756" s="207"/>
    </row>
    <row r="757" ht="15" customHeight="1" s="4" customFormat="1">
      <c r="C757" s="19"/>
      <c r="H757" s="38"/>
      <c r="I757" s="110"/>
      <c r="L757" s="207"/>
      <c r="O757" s="307"/>
      <c r="P757" s="64"/>
      <c r="Z757" s="205"/>
      <c r="AB757" s="207"/>
      <c r="AE757" s="207"/>
    </row>
    <row r="758" ht="15" customHeight="1" s="4" customFormat="1">
      <c r="B758" s="206" t="s">
        <v>197</v>
      </c>
      <c r="C758" s="55" t="s">
        <v>893</v>
      </c>
      <c r="O758" s="296"/>
      <c r="P758" s="64"/>
    </row>
    <row r="759" ht="15" customHeight="1" s="4" customFormat="1">
      <c r="C759" s="4" t="s">
        <v>894</v>
      </c>
      <c r="O759" s="296"/>
      <c r="P759" s="64"/>
    </row>
    <row r="760" ht="15" customHeight="1" s="4" customFormat="1">
      <c r="O760" s="296"/>
      <c r="P760" s="64"/>
    </row>
    <row r="761" ht="15" customHeight="1" s="4" customFormat="1">
      <c r="C761" s="4" t="s">
        <v>895</v>
      </c>
      <c r="O761" s="296"/>
      <c r="P761" s="64"/>
    </row>
    <row r="762" ht="15" customHeight="1" s="4" customFormat="1">
      <c r="C762" s="4" t="s">
        <v>725</v>
      </c>
      <c r="D762" s="30" t="s">
        <v>173</v>
      </c>
      <c r="E762" s="4" t="s">
        <v>896</v>
      </c>
      <c r="H762" s="38"/>
      <c r="I762" s="110"/>
      <c r="L762" s="207"/>
      <c r="O762" s="307"/>
      <c r="P762" s="64"/>
      <c r="Z762" s="205"/>
      <c r="AB762" s="207"/>
      <c r="AE762" s="207"/>
    </row>
    <row r="763" ht="15" customHeight="1" s="4" customFormat="1">
      <c r="C763" s="4" t="s">
        <v>754</v>
      </c>
      <c r="D763" s="30" t="s">
        <v>173</v>
      </c>
      <c r="E763" s="4" t="s">
        <v>897</v>
      </c>
      <c r="H763" s="38"/>
      <c r="I763" s="110"/>
      <c r="L763" s="207"/>
      <c r="O763" s="307"/>
      <c r="P763" s="64"/>
      <c r="Z763" s="205"/>
      <c r="AB763" s="207"/>
      <c r="AE763" s="207"/>
    </row>
    <row r="764" ht="15" customHeight="1" s="4" customFormat="1">
      <c r="C764" s="4" t="s">
        <v>777</v>
      </c>
      <c r="D764" s="30" t="s">
        <v>173</v>
      </c>
      <c r="E764" s="4" t="s">
        <v>898</v>
      </c>
      <c r="H764" s="38"/>
      <c r="I764" s="110"/>
      <c r="L764" s="207"/>
      <c r="O764" s="307"/>
      <c r="P764" s="64"/>
      <c r="Z764" s="205"/>
      <c r="AB764" s="207"/>
      <c r="AE764" s="207"/>
    </row>
    <row r="765" ht="15" customHeight="1" s="4" customFormat="1">
      <c r="C765" s="4" t="s">
        <v>774</v>
      </c>
      <c r="D765" s="30" t="s">
        <v>173</v>
      </c>
      <c r="E765" s="4" t="s">
        <v>899</v>
      </c>
      <c r="H765" s="38"/>
      <c r="I765" s="110"/>
      <c r="L765" s="207"/>
      <c r="O765" s="307"/>
      <c r="P765" s="64"/>
      <c r="Z765" s="205"/>
      <c r="AB765" s="207"/>
      <c r="AE765" s="207"/>
    </row>
    <row r="766" ht="15" customHeight="1" s="4" customFormat="1">
      <c r="C766" s="19"/>
      <c r="E766" s="4" t="s">
        <v>900</v>
      </c>
      <c r="G766" s="110"/>
      <c r="H766" s="110"/>
      <c r="I766" s="110"/>
      <c r="L766" s="207"/>
      <c r="O766" s="307"/>
      <c r="P766" s="64"/>
      <c r="Z766" s="205"/>
      <c r="AB766" s="207"/>
      <c r="AE766" s="207"/>
    </row>
    <row r="767" ht="15" customHeight="1" s="4" customFormat="1">
      <c r="C767" s="19"/>
      <c r="G767" s="110"/>
      <c r="H767" s="110"/>
      <c r="I767" s="110"/>
      <c r="L767" s="209"/>
      <c r="O767" s="307"/>
      <c r="P767" s="64"/>
      <c r="Z767" s="210"/>
      <c r="AB767" s="209"/>
      <c r="AE767" s="209"/>
    </row>
    <row r="768" ht="15" customHeight="1" s="4" customFormat="1">
      <c r="B768" s="112" t="s">
        <v>901</v>
      </c>
      <c r="N768" s="207"/>
      <c r="O768" s="296"/>
      <c r="P768" s="64"/>
      <c r="Z768" s="205"/>
      <c r="AB768" s="207"/>
      <c r="AE768" s="207"/>
    </row>
    <row r="769" ht="15" customHeight="1" s="4" customFormat="1">
      <c r="N769" s="207"/>
      <c r="O769" s="296"/>
      <c r="P769" s="64"/>
      <c r="Z769" s="205"/>
      <c r="AB769" s="207"/>
      <c r="AE769" s="207"/>
    </row>
    <row r="770" ht="20.1" customHeight="1" s="4" customFormat="1">
      <c r="C770" s="46" t="s">
        <v>163</v>
      </c>
      <c r="D770" s="46"/>
      <c r="E770" s="46"/>
      <c r="F770" s="46"/>
      <c r="G770" s="46"/>
      <c r="H770" s="46"/>
      <c r="I770" s="46"/>
      <c r="J770" s="46" t="s">
        <v>902</v>
      </c>
      <c r="K770" s="46"/>
      <c r="L770" s="46"/>
      <c r="O770" s="296"/>
      <c r="P770" s="64"/>
      <c r="Z770" s="205"/>
      <c r="AB770" s="207"/>
      <c r="AE770" s="207"/>
    </row>
    <row r="771" ht="20.1" customHeight="1" s="4" customFormat="1">
      <c r="C771" s="114" t="s">
        <v>903</v>
      </c>
      <c r="D771" s="114"/>
      <c r="E771" s="114"/>
      <c r="F771" s="114"/>
      <c r="G771" s="114"/>
      <c r="H771" s="114"/>
      <c r="I771" s="114"/>
      <c r="J771" s="114" t="s">
        <v>416</v>
      </c>
      <c r="K771" s="114"/>
      <c r="L771" s="114"/>
      <c r="N771" s="234" t="s">
        <v>904</v>
      </c>
      <c r="O771" s="296"/>
      <c r="P771" s="64"/>
      <c r="Z771" s="205"/>
      <c r="AB771" s="207"/>
      <c r="AE771" s="207"/>
    </row>
    <row r="772" ht="20.1" customHeight="1" s="4" customFormat="1">
      <c r="C772" s="521" t="s">
        <v>905</v>
      </c>
      <c r="D772" s="521"/>
      <c r="E772" s="521"/>
      <c r="F772" s="4" t="s">
        <v>827</v>
      </c>
      <c r="J772" s="4" t="s">
        <v>906</v>
      </c>
      <c r="N772" s="234" t="s">
        <v>907</v>
      </c>
      <c r="O772" s="296"/>
      <c r="P772" s="64"/>
      <c r="Z772" s="205"/>
      <c r="AB772" s="207"/>
      <c r="AE772" s="207"/>
    </row>
    <row r="773" ht="20.1" customHeight="1" s="4" customFormat="1">
      <c r="C773" s="507"/>
      <c r="D773" s="507"/>
      <c r="E773" s="507"/>
      <c r="F773" s="22" t="s">
        <v>829</v>
      </c>
      <c r="G773" s="22"/>
      <c r="H773" s="22"/>
      <c r="I773" s="22"/>
      <c r="J773" s="22" t="s">
        <v>416</v>
      </c>
      <c r="K773" s="22"/>
      <c r="L773" s="22"/>
      <c r="O773" s="296"/>
      <c r="P773" s="64"/>
      <c r="Z773" s="205"/>
      <c r="AB773" s="207"/>
      <c r="AE773" s="207"/>
    </row>
    <row r="774" ht="15" customHeight="1" s="4" customFormat="1">
      <c r="C774" s="205"/>
      <c r="D774" s="205"/>
      <c r="E774" s="205"/>
      <c r="F774" s="205"/>
      <c r="G774" s="205"/>
      <c r="O774" s="296"/>
      <c r="P774" s="64"/>
      <c r="Z774" s="205"/>
      <c r="AB774" s="207"/>
      <c r="AE774" s="207"/>
    </row>
    <row r="775" ht="15" customHeight="1" s="4" customFormat="1">
      <c r="C775" s="205"/>
      <c r="D775" s="205"/>
      <c r="E775" s="205"/>
      <c r="F775" s="205"/>
      <c r="G775" s="205"/>
      <c r="O775" s="296"/>
      <c r="P775" s="64"/>
      <c r="Z775" s="205"/>
      <c r="AB775" s="207"/>
      <c r="AE775" s="207"/>
    </row>
    <row r="776" ht="15" customHeight="1" s="4" customFormat="1">
      <c r="A776" s="207"/>
      <c r="B776" s="40" t="s">
        <v>908</v>
      </c>
      <c r="C776" s="19"/>
      <c r="G776" s="133"/>
      <c r="H776" s="313"/>
      <c r="I776" s="312"/>
      <c r="J776" s="312"/>
      <c r="K776" s="312"/>
      <c r="L776" s="312"/>
      <c r="N776" s="234" t="s">
        <v>909</v>
      </c>
      <c r="O776" s="296"/>
      <c r="P776" s="64"/>
      <c r="Q776" s="312"/>
      <c r="R776" s="312"/>
      <c r="S776" s="312"/>
      <c r="T776" s="312"/>
      <c r="U776" s="312"/>
      <c r="V776" s="312"/>
      <c r="W776" s="312"/>
      <c r="X776" s="312"/>
      <c r="Y776" s="312"/>
      <c r="Z776" s="312"/>
      <c r="AB776" s="132"/>
      <c r="AC776" s="132"/>
      <c r="AD776" s="312"/>
      <c r="AE776" s="207"/>
    </row>
    <row r="777" ht="15" customHeight="1" s="4" customFormat="1">
      <c r="A777" s="207"/>
      <c r="B777" s="207"/>
      <c r="C777" s="19"/>
      <c r="G777" s="133"/>
      <c r="H777" s="313"/>
      <c r="I777" s="312"/>
      <c r="J777" s="312"/>
      <c r="K777" s="312"/>
      <c r="L777" s="312"/>
      <c r="N777" s="312"/>
      <c r="O777" s="329"/>
      <c r="P777" s="369"/>
      <c r="Q777" s="312"/>
      <c r="R777" s="312"/>
      <c r="S777" s="312"/>
      <c r="T777" s="312"/>
      <c r="U777" s="312"/>
      <c r="V777" s="312"/>
      <c r="W777" s="312"/>
      <c r="X777" s="312"/>
      <c r="Y777" s="312"/>
      <c r="Z777" s="312"/>
      <c r="AB777" s="132"/>
      <c r="AC777" s="132"/>
      <c r="AD777" s="312"/>
      <c r="AE777" s="207"/>
    </row>
    <row r="778" ht="15" customHeight="1" s="4" customFormat="1">
      <c r="A778" s="207"/>
      <c r="B778" s="207"/>
      <c r="C778" s="19"/>
      <c r="G778" s="133"/>
      <c r="H778" s="313"/>
      <c r="I778" s="312"/>
      <c r="J778" s="312"/>
      <c r="K778" s="312"/>
      <c r="L778" s="312"/>
      <c r="N778" s="312"/>
      <c r="O778" s="329"/>
      <c r="P778" s="369"/>
      <c r="Q778" s="312"/>
      <c r="R778" s="312"/>
      <c r="S778" s="312"/>
      <c r="T778" s="312"/>
      <c r="U778" s="312"/>
      <c r="V778" s="312"/>
      <c r="W778" s="312"/>
      <c r="X778" s="312"/>
      <c r="Y778" s="312"/>
      <c r="Z778" s="312"/>
      <c r="AB778" s="132"/>
      <c r="AC778" s="132"/>
      <c r="AD778" s="312"/>
      <c r="AE778" s="207"/>
    </row>
    <row r="779" ht="15" customHeight="1" s="4" customFormat="1">
      <c r="A779" s="207"/>
      <c r="B779" s="207"/>
      <c r="C779" s="19"/>
      <c r="G779" s="133"/>
      <c r="H779" s="313"/>
      <c r="I779" s="312"/>
      <c r="J779" s="312"/>
      <c r="K779" s="312"/>
      <c r="L779" s="312"/>
      <c r="N779" s="312"/>
      <c r="O779" s="329"/>
      <c r="P779" s="369"/>
      <c r="Q779" s="312"/>
      <c r="R779" s="312"/>
      <c r="S779" s="312"/>
      <c r="T779" s="312"/>
      <c r="U779" s="312"/>
      <c r="V779" s="312"/>
      <c r="W779" s="312"/>
      <c r="X779" s="312"/>
      <c r="Y779" s="312"/>
      <c r="Z779" s="312"/>
      <c r="AB779" s="132"/>
      <c r="AC779" s="132"/>
      <c r="AD779" s="312"/>
      <c r="AE779" s="207"/>
    </row>
    <row r="780" ht="15" customHeight="1" s="4" customFormat="1">
      <c r="A780" s="207"/>
      <c r="B780" s="207"/>
      <c r="C780" s="19"/>
      <c r="G780" s="133"/>
      <c r="H780" s="313"/>
      <c r="I780" s="312"/>
      <c r="J780" s="312"/>
      <c r="K780" s="312"/>
      <c r="L780" s="312"/>
      <c r="N780" s="312"/>
      <c r="O780" s="329"/>
      <c r="P780" s="369"/>
      <c r="Q780" s="312"/>
      <c r="R780" s="312"/>
      <c r="S780" s="312"/>
      <c r="T780" s="312"/>
      <c r="U780" s="312"/>
      <c r="V780" s="312"/>
      <c r="W780" s="312"/>
      <c r="X780" s="312"/>
      <c r="Y780" s="312"/>
      <c r="Z780" s="312"/>
      <c r="AB780" s="132"/>
      <c r="AC780" s="132"/>
      <c r="AD780" s="312"/>
      <c r="AE780" s="207"/>
    </row>
    <row r="781" ht="15" customHeight="1" s="4" customFormat="1">
      <c r="A781" s="207"/>
      <c r="B781" s="207"/>
      <c r="C781" s="19"/>
      <c r="G781" s="133"/>
      <c r="H781" s="313"/>
      <c r="I781" s="312"/>
      <c r="J781" s="312"/>
      <c r="K781" s="312"/>
      <c r="L781" s="312"/>
      <c r="N781" s="312"/>
      <c r="O781" s="329"/>
      <c r="P781" s="369"/>
      <c r="Q781" s="312"/>
      <c r="R781" s="312"/>
      <c r="S781" s="312"/>
      <c r="T781" s="312"/>
      <c r="U781" s="312"/>
      <c r="V781" s="312"/>
      <c r="W781" s="312"/>
      <c r="X781" s="312"/>
      <c r="Y781" s="312"/>
      <c r="Z781" s="312"/>
      <c r="AB781" s="132"/>
      <c r="AC781" s="132"/>
      <c r="AD781" s="312"/>
      <c r="AE781" s="207"/>
    </row>
    <row r="782" ht="15" customHeight="1" s="4" customFormat="1">
      <c r="A782" s="207"/>
      <c r="B782" s="207"/>
      <c r="C782" s="19"/>
      <c r="G782" s="133"/>
      <c r="H782" s="313"/>
      <c r="I782" s="312"/>
      <c r="J782" s="312"/>
      <c r="K782" s="312"/>
      <c r="L782" s="312"/>
      <c r="N782" s="312"/>
      <c r="O782" s="329"/>
      <c r="P782" s="369"/>
      <c r="Q782" s="312"/>
      <c r="R782" s="312"/>
      <c r="S782" s="312"/>
      <c r="T782" s="312"/>
      <c r="U782" s="312"/>
      <c r="V782" s="312"/>
      <c r="W782" s="312"/>
      <c r="X782" s="312"/>
      <c r="Y782" s="312"/>
      <c r="Z782" s="312"/>
      <c r="AB782" s="132"/>
      <c r="AC782" s="132"/>
      <c r="AD782" s="312"/>
      <c r="AE782" s="207"/>
    </row>
    <row r="783" ht="15" customHeight="1" s="4" customFormat="1">
      <c r="A783" s="207"/>
      <c r="B783" s="207"/>
      <c r="C783" s="19"/>
      <c r="G783" s="133"/>
      <c r="H783" s="313"/>
      <c r="I783" s="312"/>
      <c r="J783" s="312"/>
      <c r="K783" s="312"/>
      <c r="L783" s="312"/>
      <c r="N783" s="312"/>
      <c r="O783" s="329"/>
      <c r="P783" s="369"/>
      <c r="Q783" s="312"/>
      <c r="R783" s="312"/>
      <c r="S783" s="312"/>
      <c r="T783" s="312"/>
      <c r="U783" s="312"/>
      <c r="V783" s="312"/>
      <c r="W783" s="312"/>
      <c r="X783" s="312"/>
      <c r="Y783" s="312"/>
      <c r="Z783" s="312"/>
      <c r="AB783" s="132"/>
      <c r="AC783" s="132"/>
      <c r="AD783" s="312"/>
      <c r="AE783" s="207"/>
    </row>
    <row r="784" ht="15" customHeight="1" s="4" customFormat="1">
      <c r="A784" s="207"/>
      <c r="B784" s="207"/>
      <c r="C784" s="19"/>
      <c r="G784" s="133"/>
      <c r="H784" s="313"/>
      <c r="I784" s="312"/>
      <c r="J784" s="312"/>
      <c r="K784" s="312"/>
      <c r="L784" s="312"/>
      <c r="N784" s="312"/>
      <c r="O784" s="329"/>
      <c r="P784" s="369"/>
      <c r="Q784" s="312"/>
      <c r="R784" s="312"/>
      <c r="S784" s="312"/>
      <c r="T784" s="312"/>
      <c r="U784" s="312"/>
      <c r="V784" s="312"/>
      <c r="W784" s="312"/>
      <c r="X784" s="312"/>
      <c r="Y784" s="312"/>
      <c r="Z784" s="312"/>
      <c r="AB784" s="132"/>
      <c r="AC784" s="132"/>
      <c r="AD784" s="312"/>
      <c r="AE784" s="207"/>
    </row>
    <row r="785" ht="15" customHeight="1" s="4" customFormat="1">
      <c r="A785" s="207"/>
      <c r="B785" s="207"/>
      <c r="C785" s="19"/>
      <c r="G785" s="133"/>
      <c r="H785" s="313"/>
      <c r="I785" s="312"/>
      <c r="J785" s="312"/>
      <c r="K785" s="312"/>
      <c r="L785" s="312"/>
      <c r="N785" s="312"/>
      <c r="O785" s="329"/>
      <c r="P785" s="369"/>
      <c r="Q785" s="312"/>
      <c r="R785" s="312"/>
      <c r="S785" s="312"/>
      <c r="T785" s="312"/>
      <c r="U785" s="312"/>
      <c r="V785" s="312"/>
      <c r="W785" s="312"/>
      <c r="X785" s="312"/>
      <c r="Y785" s="312"/>
      <c r="Z785" s="312"/>
      <c r="AB785" s="132"/>
      <c r="AC785" s="132"/>
      <c r="AD785" s="312"/>
      <c r="AE785" s="207"/>
    </row>
    <row r="786" ht="15" customHeight="1" s="4" customFormat="1">
      <c r="A786" s="207"/>
      <c r="B786" s="207"/>
      <c r="C786" s="19"/>
      <c r="G786" s="133"/>
      <c r="H786" s="313"/>
      <c r="I786" s="312"/>
      <c r="J786" s="312"/>
      <c r="K786" s="312"/>
      <c r="L786" s="312"/>
      <c r="N786" s="312"/>
      <c r="O786" s="329"/>
      <c r="P786" s="369"/>
      <c r="Q786" s="312"/>
      <c r="R786" s="312"/>
      <c r="S786" s="312"/>
      <c r="T786" s="312"/>
      <c r="U786" s="312"/>
      <c r="V786" s="312"/>
      <c r="W786" s="312"/>
      <c r="X786" s="312"/>
      <c r="Y786" s="312"/>
      <c r="Z786" s="312"/>
      <c r="AB786" s="132"/>
      <c r="AC786" s="132"/>
      <c r="AD786" s="312"/>
      <c r="AE786" s="207"/>
    </row>
    <row r="787" ht="15" customHeight="1" s="4" customFormat="1">
      <c r="A787" s="207"/>
      <c r="B787" s="207"/>
      <c r="C787" s="19"/>
      <c r="G787" s="133"/>
      <c r="H787" s="313"/>
      <c r="I787" s="312"/>
      <c r="J787" s="312"/>
      <c r="K787" s="312"/>
      <c r="L787" s="312"/>
      <c r="N787" s="312"/>
      <c r="O787" s="329"/>
      <c r="P787" s="369"/>
      <c r="Q787" s="312"/>
      <c r="R787" s="312"/>
      <c r="S787" s="312"/>
      <c r="T787" s="312"/>
      <c r="U787" s="312"/>
      <c r="V787" s="312"/>
      <c r="W787" s="312"/>
      <c r="X787" s="312"/>
      <c r="Y787" s="312"/>
      <c r="Z787" s="312"/>
      <c r="AB787" s="132"/>
      <c r="AC787" s="132"/>
      <c r="AD787" s="312"/>
      <c r="AE787" s="207"/>
    </row>
    <row r="788" ht="15" customHeight="1" s="4" customFormat="1">
      <c r="A788" s="207"/>
      <c r="B788" s="207"/>
      <c r="C788" s="19"/>
      <c r="G788" s="133"/>
      <c r="H788" s="313"/>
      <c r="I788" s="312"/>
      <c r="J788" s="312"/>
      <c r="K788" s="312"/>
      <c r="L788" s="312"/>
      <c r="N788" s="312"/>
      <c r="O788" s="329"/>
      <c r="P788" s="369"/>
      <c r="Q788" s="312"/>
      <c r="R788" s="312"/>
      <c r="S788" s="312"/>
      <c r="T788" s="312"/>
      <c r="U788" s="312"/>
      <c r="V788" s="312"/>
      <c r="W788" s="312"/>
      <c r="X788" s="312"/>
      <c r="Y788" s="312"/>
      <c r="Z788" s="312"/>
      <c r="AB788" s="132"/>
      <c r="AC788" s="132"/>
      <c r="AD788" s="312"/>
      <c r="AE788" s="207"/>
    </row>
    <row r="789" ht="15" customHeight="1" s="4" customFormat="1">
      <c r="A789" s="207"/>
      <c r="B789" s="207"/>
      <c r="C789" s="19"/>
      <c r="G789" s="133"/>
      <c r="H789" s="313"/>
      <c r="I789" s="312"/>
      <c r="J789" s="312"/>
      <c r="K789" s="312"/>
      <c r="L789" s="312"/>
      <c r="N789" s="312"/>
      <c r="O789" s="329"/>
      <c r="P789" s="369"/>
      <c r="Q789" s="312"/>
      <c r="R789" s="312"/>
      <c r="S789" s="312"/>
      <c r="T789" s="312"/>
      <c r="U789" s="312"/>
      <c r="V789" s="312"/>
      <c r="W789" s="312"/>
      <c r="X789" s="312"/>
      <c r="Y789" s="312"/>
      <c r="Z789" s="312"/>
      <c r="AB789" s="132"/>
      <c r="AC789" s="132"/>
      <c r="AD789" s="312"/>
      <c r="AE789" s="207"/>
    </row>
    <row r="790" ht="15" customHeight="1" s="4" customFormat="1">
      <c r="A790" s="207"/>
      <c r="B790" s="207"/>
      <c r="C790" s="19"/>
      <c r="G790" s="133"/>
      <c r="H790" s="313"/>
      <c r="I790" s="312"/>
      <c r="J790" s="312"/>
      <c r="K790" s="312"/>
      <c r="L790" s="312"/>
      <c r="N790" s="312"/>
      <c r="O790" s="329"/>
      <c r="P790" s="369"/>
      <c r="Q790" s="312"/>
      <c r="R790" s="312"/>
      <c r="S790" s="312"/>
      <c r="T790" s="312"/>
      <c r="U790" s="312"/>
      <c r="V790" s="312"/>
      <c r="W790" s="312"/>
      <c r="X790" s="312"/>
      <c r="Y790" s="312"/>
      <c r="Z790" s="312"/>
      <c r="AB790" s="132"/>
      <c r="AC790" s="132"/>
      <c r="AD790" s="312"/>
      <c r="AE790" s="207"/>
    </row>
    <row r="791" ht="15" customHeight="1" s="4" customFormat="1">
      <c r="A791" s="207"/>
      <c r="B791" s="207"/>
      <c r="C791" s="19"/>
      <c r="G791" s="133"/>
      <c r="H791" s="313"/>
      <c r="I791" s="312"/>
      <c r="J791" s="312"/>
      <c r="K791" s="312"/>
      <c r="L791" s="312"/>
      <c r="N791" s="312"/>
      <c r="O791" s="329"/>
      <c r="P791" s="369"/>
      <c r="Q791" s="54"/>
      <c r="R791" s="312"/>
      <c r="S791" s="312"/>
      <c r="T791" s="312"/>
      <c r="U791" s="312"/>
      <c r="V791" s="312"/>
      <c r="W791" s="312"/>
      <c r="X791" s="312"/>
      <c r="Y791" s="312"/>
      <c r="Z791" s="312"/>
      <c r="AB791" s="132"/>
      <c r="AC791" s="132"/>
      <c r="AD791" s="312"/>
      <c r="AE791" s="207"/>
    </row>
    <row r="792" ht="15" customHeight="1" s="4" customFormat="1">
      <c r="A792" s="207"/>
      <c r="B792" s="207"/>
      <c r="C792" s="19"/>
      <c r="G792" s="133"/>
      <c r="H792" s="313"/>
      <c r="I792" s="312"/>
      <c r="J792" s="312"/>
      <c r="K792" s="312"/>
      <c r="L792" s="312"/>
      <c r="N792" s="312"/>
      <c r="O792" s="329"/>
      <c r="P792" s="369"/>
      <c r="Q792" s="54"/>
      <c r="R792" s="312"/>
      <c r="S792" s="312"/>
      <c r="T792" s="312"/>
      <c r="U792" s="312"/>
      <c r="V792" s="312"/>
      <c r="W792" s="312"/>
      <c r="X792" s="312"/>
      <c r="Y792" s="312"/>
      <c r="Z792" s="312"/>
      <c r="AB792" s="132"/>
      <c r="AC792" s="132"/>
      <c r="AD792" s="312"/>
      <c r="AE792" s="207"/>
    </row>
    <row r="793" ht="15" customHeight="1" s="4" customFormat="1">
      <c r="A793" s="207"/>
      <c r="B793" s="207"/>
      <c r="C793" s="19"/>
      <c r="G793" s="133"/>
      <c r="H793" s="313"/>
      <c r="I793" s="312"/>
      <c r="J793" s="312"/>
      <c r="K793" s="312"/>
      <c r="L793" s="312"/>
      <c r="N793" s="312"/>
      <c r="O793" s="329"/>
      <c r="P793" s="369"/>
      <c r="Q793" s="54"/>
      <c r="R793" s="312"/>
      <c r="S793" s="312"/>
      <c r="T793" s="312"/>
      <c r="U793" s="312"/>
      <c r="V793" s="312"/>
      <c r="W793" s="312"/>
      <c r="X793" s="312"/>
      <c r="Y793" s="312"/>
      <c r="Z793" s="312"/>
      <c r="AB793" s="132"/>
      <c r="AC793" s="132"/>
      <c r="AD793" s="312"/>
      <c r="AE793" s="207"/>
    </row>
    <row r="794" ht="15" customHeight="1" s="4" customFormat="1">
      <c r="A794" s="207"/>
      <c r="B794" s="207"/>
      <c r="C794" s="19"/>
      <c r="G794" s="133"/>
      <c r="H794" s="313"/>
      <c r="I794" s="312"/>
      <c r="J794" s="312"/>
      <c r="K794" s="312"/>
      <c r="L794" s="312"/>
      <c r="N794" s="312"/>
      <c r="O794" s="329"/>
      <c r="P794" s="369"/>
      <c r="Q794" s="54"/>
      <c r="R794" s="312"/>
      <c r="S794" s="312"/>
      <c r="T794" s="312"/>
      <c r="U794" s="312"/>
      <c r="V794" s="312"/>
      <c r="W794" s="312"/>
      <c r="X794" s="312"/>
      <c r="Y794" s="312"/>
      <c r="Z794" s="312"/>
      <c r="AB794" s="132"/>
      <c r="AC794" s="132"/>
      <c r="AD794" s="312"/>
      <c r="AE794" s="207"/>
    </row>
    <row r="795" ht="15" customHeight="1" s="4" customFormat="1">
      <c r="A795" s="207"/>
      <c r="B795" s="207"/>
      <c r="C795" s="19"/>
      <c r="G795" s="133"/>
      <c r="H795" s="313"/>
      <c r="I795" s="312"/>
      <c r="J795" s="312"/>
      <c r="K795" s="312"/>
      <c r="L795" s="312"/>
      <c r="N795" s="312"/>
      <c r="O795" s="329"/>
      <c r="P795" s="369"/>
      <c r="Q795" s="54"/>
      <c r="R795" s="312"/>
      <c r="S795" s="312"/>
      <c r="T795" s="312"/>
      <c r="U795" s="312"/>
      <c r="V795" s="312"/>
      <c r="X795" s="312"/>
      <c r="Y795" s="312"/>
      <c r="Z795" s="312"/>
      <c r="AB795" s="132"/>
      <c r="AC795" s="132"/>
      <c r="AD795" s="312"/>
      <c r="AE795" s="207"/>
    </row>
    <row r="796" ht="15" customHeight="1" s="4" customFormat="1">
      <c r="A796" s="207"/>
      <c r="B796" s="207"/>
      <c r="C796" s="19"/>
      <c r="G796" s="133"/>
      <c r="H796" s="313"/>
      <c r="I796" s="312"/>
      <c r="J796" s="312"/>
      <c r="K796" s="312"/>
      <c r="L796" s="312"/>
      <c r="N796" s="312"/>
      <c r="O796" s="329"/>
      <c r="P796" s="369"/>
      <c r="Q796" s="54"/>
      <c r="R796" s="312"/>
      <c r="S796" s="312"/>
      <c r="T796" s="312"/>
      <c r="U796" s="312"/>
      <c r="V796" s="312"/>
      <c r="X796" s="312"/>
      <c r="Y796" s="312"/>
      <c r="Z796" s="312"/>
      <c r="AB796" s="132"/>
      <c r="AC796" s="132"/>
      <c r="AD796" s="312"/>
      <c r="AE796" s="207"/>
    </row>
    <row r="797" ht="15" customHeight="1" s="4" customFormat="1">
      <c r="A797" s="207"/>
      <c r="B797" s="207"/>
      <c r="C797" s="19"/>
      <c r="G797" s="133"/>
      <c r="H797" s="313"/>
      <c r="I797" s="312"/>
      <c r="J797" s="312"/>
      <c r="K797" s="312"/>
      <c r="L797" s="312"/>
      <c r="N797" s="312"/>
      <c r="O797" s="329"/>
      <c r="P797" s="369"/>
      <c r="Q797" s="54"/>
      <c r="R797" s="312"/>
      <c r="S797" s="312"/>
      <c r="T797" s="312"/>
      <c r="U797" s="312"/>
      <c r="V797" s="312"/>
      <c r="W797" s="312"/>
      <c r="X797" s="312"/>
      <c r="Y797" s="312"/>
      <c r="Z797" s="312"/>
      <c r="AB797" s="132"/>
      <c r="AC797" s="132"/>
      <c r="AD797" s="312"/>
      <c r="AE797" s="207"/>
    </row>
    <row r="798" ht="15" customHeight="1" s="4" customFormat="1">
      <c r="A798" s="207"/>
      <c r="B798" s="207"/>
      <c r="C798" s="19"/>
      <c r="G798" s="133"/>
      <c r="H798" s="313"/>
      <c r="I798" s="312"/>
      <c r="J798" s="312"/>
      <c r="K798" s="312"/>
      <c r="L798" s="312"/>
      <c r="N798" s="312"/>
      <c r="O798" s="329"/>
      <c r="P798" s="369"/>
      <c r="Q798" s="312"/>
      <c r="R798" s="312"/>
      <c r="S798" s="312"/>
      <c r="T798" s="312"/>
      <c r="U798" s="312"/>
      <c r="V798" s="312"/>
      <c r="W798" s="312"/>
      <c r="X798" s="312"/>
      <c r="Y798" s="312"/>
      <c r="Z798" s="312"/>
      <c r="AB798" s="132"/>
      <c r="AC798" s="132"/>
      <c r="AD798" s="312"/>
      <c r="AE798" s="207"/>
    </row>
    <row r="799" ht="15" customHeight="1" s="4" customFormat="1">
      <c r="A799" s="207"/>
      <c r="B799" s="207"/>
      <c r="C799" s="19"/>
      <c r="G799" s="133"/>
      <c r="H799" s="313"/>
      <c r="I799" s="312"/>
      <c r="J799" s="312"/>
      <c r="K799" s="312"/>
      <c r="L799" s="312"/>
      <c r="N799" s="312"/>
      <c r="O799" s="329"/>
      <c r="P799" s="369"/>
      <c r="Q799" s="312"/>
      <c r="R799" s="312"/>
      <c r="S799" s="312"/>
      <c r="T799" s="312"/>
      <c r="U799" s="312"/>
      <c r="V799" s="312"/>
      <c r="W799" s="312"/>
      <c r="X799" s="312"/>
      <c r="Y799" s="312"/>
      <c r="Z799" s="312"/>
      <c r="AB799" s="132"/>
      <c r="AC799" s="132"/>
      <c r="AD799" s="312"/>
      <c r="AE799" s="207"/>
    </row>
    <row r="800" ht="15" customHeight="1" s="4" customFormat="1">
      <c r="A800" s="207"/>
      <c r="B800" s="207"/>
      <c r="C800" s="19"/>
      <c r="G800" s="133"/>
      <c r="H800" s="313"/>
      <c r="I800" s="312"/>
      <c r="J800" s="312"/>
      <c r="K800" s="312"/>
      <c r="L800" s="312"/>
      <c r="N800" s="312"/>
      <c r="O800" s="329"/>
      <c r="P800" s="369"/>
      <c r="Q800" s="312"/>
      <c r="R800" s="312"/>
      <c r="S800" s="312"/>
      <c r="T800" s="312"/>
      <c r="U800" s="312"/>
      <c r="V800" s="312"/>
      <c r="W800" s="312"/>
      <c r="X800" s="312"/>
      <c r="Y800" s="312"/>
      <c r="Z800" s="312"/>
      <c r="AB800" s="132"/>
      <c r="AC800" s="132"/>
      <c r="AD800" s="312"/>
      <c r="AE800" s="207"/>
    </row>
    <row r="801" ht="15" customHeight="1" s="4" customFormat="1">
      <c r="A801" s="207"/>
      <c r="B801" s="207"/>
      <c r="C801" s="19"/>
      <c r="G801" s="133"/>
      <c r="H801" s="313"/>
      <c r="I801" s="312"/>
      <c r="J801" s="312"/>
      <c r="K801" s="312"/>
      <c r="L801" s="312"/>
      <c r="N801" s="312"/>
      <c r="O801" s="329"/>
      <c r="P801" s="369"/>
      <c r="Q801" s="312"/>
      <c r="R801" s="312"/>
      <c r="S801" s="312"/>
      <c r="T801" s="312"/>
      <c r="U801" s="312"/>
      <c r="V801" s="312"/>
      <c r="W801" s="312"/>
      <c r="X801" s="312"/>
      <c r="Y801" s="312"/>
      <c r="Z801" s="312"/>
      <c r="AB801" s="132"/>
      <c r="AC801" s="132"/>
      <c r="AD801" s="312"/>
      <c r="AE801" s="207"/>
    </row>
    <row r="802" ht="15" customHeight="1" s="4" customFormat="1">
      <c r="A802" s="207"/>
      <c r="B802" s="207"/>
      <c r="C802" s="19"/>
      <c r="G802" s="133"/>
      <c r="H802" s="313"/>
      <c r="I802" s="312"/>
      <c r="J802" s="312"/>
      <c r="K802" s="312"/>
      <c r="L802" s="312"/>
      <c r="N802" s="312"/>
      <c r="O802" s="329"/>
      <c r="P802" s="369"/>
      <c r="Q802" s="312"/>
      <c r="R802" s="312"/>
      <c r="S802" s="312"/>
      <c r="T802" s="312"/>
      <c r="U802" s="312"/>
      <c r="V802" s="312"/>
      <c r="W802" s="312"/>
      <c r="X802" s="312"/>
      <c r="Y802" s="312"/>
      <c r="Z802" s="312"/>
      <c r="AB802" s="132"/>
      <c r="AC802" s="132"/>
      <c r="AD802" s="312"/>
      <c r="AE802" s="207"/>
    </row>
    <row r="803" ht="15" customHeight="1" s="4" customFormat="1">
      <c r="A803" s="207"/>
      <c r="B803" s="207"/>
      <c r="C803" s="19"/>
      <c r="G803" s="133"/>
      <c r="H803" s="313"/>
      <c r="I803" s="312"/>
      <c r="J803" s="312"/>
      <c r="K803" s="312"/>
      <c r="L803" s="312"/>
      <c r="N803" s="312"/>
      <c r="O803" s="329"/>
      <c r="P803" s="369"/>
      <c r="Q803" s="312"/>
      <c r="R803" s="312"/>
      <c r="S803" s="312"/>
      <c r="T803" s="312"/>
      <c r="U803" s="312"/>
      <c r="V803" s="312"/>
      <c r="W803" s="312"/>
      <c r="X803" s="312"/>
      <c r="Y803" s="312"/>
      <c r="Z803" s="312"/>
      <c r="AB803" s="132"/>
      <c r="AC803" s="132"/>
      <c r="AD803" s="312"/>
      <c r="AE803" s="207"/>
    </row>
    <row r="804" ht="15" customHeight="1" s="4" customFormat="1">
      <c r="A804" s="207"/>
      <c r="B804" s="207"/>
      <c r="C804" s="19"/>
      <c r="G804" s="133"/>
      <c r="H804" s="313"/>
      <c r="I804" s="312"/>
      <c r="J804" s="312"/>
      <c r="K804" s="312"/>
      <c r="L804" s="312"/>
      <c r="N804" s="312"/>
      <c r="O804" s="329"/>
      <c r="P804" s="369"/>
      <c r="Q804" s="312"/>
      <c r="R804" s="312"/>
      <c r="S804" s="312"/>
      <c r="T804" s="312"/>
      <c r="U804" s="312"/>
      <c r="V804" s="312"/>
      <c r="W804" s="312"/>
      <c r="X804" s="312"/>
      <c r="Y804" s="312"/>
      <c r="Z804" s="312"/>
      <c r="AB804" s="132"/>
      <c r="AC804" s="132"/>
      <c r="AD804" s="312"/>
      <c r="AE804" s="207"/>
    </row>
    <row r="805" ht="15" customHeight="1" s="4" customFormat="1">
      <c r="A805" s="207"/>
      <c r="B805" s="207"/>
      <c r="C805" s="19"/>
      <c r="G805" s="133"/>
      <c r="H805" s="313"/>
      <c r="I805" s="312"/>
      <c r="J805" s="312"/>
      <c r="K805" s="312"/>
      <c r="L805" s="312"/>
      <c r="N805" s="312"/>
      <c r="O805" s="329"/>
      <c r="P805" s="369"/>
      <c r="Q805" s="312"/>
      <c r="R805" s="312"/>
      <c r="S805" s="312"/>
      <c r="T805" s="312"/>
      <c r="U805" s="312"/>
      <c r="V805" s="312"/>
      <c r="W805" s="312"/>
      <c r="X805" s="312"/>
      <c r="Y805" s="312"/>
      <c r="Z805" s="312"/>
      <c r="AB805" s="132"/>
      <c r="AC805" s="132"/>
      <c r="AD805" s="312"/>
      <c r="AE805" s="207"/>
    </row>
    <row r="806" ht="15" customHeight="1" s="4" customFormat="1">
      <c r="A806" s="207"/>
      <c r="B806" s="328"/>
      <c r="D806" s="4" t="s">
        <v>910</v>
      </c>
      <c r="E806" s="30" t="s">
        <v>173</v>
      </c>
      <c r="F806" s="4" t="s">
        <v>911</v>
      </c>
      <c r="G806" s="133"/>
      <c r="H806" s="313"/>
      <c r="I806" s="312"/>
      <c r="J806" s="312"/>
      <c r="K806" s="312"/>
      <c r="L806" s="312"/>
      <c r="N806" s="312"/>
      <c r="O806" s="329"/>
      <c r="P806" s="369"/>
      <c r="Q806" s="312"/>
      <c r="R806" s="312"/>
      <c r="S806" s="312"/>
      <c r="T806" s="312"/>
      <c r="U806" s="312"/>
      <c r="V806" s="312"/>
      <c r="W806" s="312"/>
      <c r="X806" s="312"/>
      <c r="Y806" s="312"/>
      <c r="Z806" s="312"/>
      <c r="AB806" s="132"/>
      <c r="AC806" s="132"/>
      <c r="AD806" s="312"/>
      <c r="AE806" s="207"/>
    </row>
    <row r="807" ht="15" customHeight="1" s="4" customFormat="1">
      <c r="A807" s="207"/>
      <c r="B807" s="328"/>
      <c r="D807" s="4" t="s">
        <v>32</v>
      </c>
      <c r="E807" s="30" t="s">
        <v>173</v>
      </c>
      <c r="F807" s="4" t="s">
        <v>912</v>
      </c>
      <c r="G807" s="133"/>
      <c r="H807" s="313"/>
      <c r="I807" s="312"/>
      <c r="J807" s="312"/>
      <c r="K807" s="312"/>
      <c r="L807" s="312"/>
      <c r="N807" s="312"/>
      <c r="O807" s="329"/>
      <c r="P807" s="369"/>
      <c r="Q807" s="312"/>
      <c r="R807" s="312"/>
      <c r="S807" s="312"/>
      <c r="T807" s="312"/>
      <c r="U807" s="312"/>
      <c r="V807" s="312"/>
      <c r="W807" s="312"/>
      <c r="X807" s="312"/>
      <c r="Y807" s="312"/>
      <c r="Z807" s="312"/>
      <c r="AB807" s="132"/>
      <c r="AC807" s="132"/>
      <c r="AD807" s="312"/>
      <c r="AE807" s="207"/>
    </row>
    <row r="808" ht="15" customHeight="1" s="4" customFormat="1">
      <c r="A808" s="207"/>
      <c r="B808" s="328"/>
      <c r="D808" s="4" t="s">
        <v>913</v>
      </c>
      <c r="E808" s="30" t="s">
        <v>173</v>
      </c>
      <c r="F808" s="4" t="s">
        <v>914</v>
      </c>
      <c r="G808" s="133"/>
      <c r="H808" s="313"/>
      <c r="I808" s="312"/>
      <c r="J808" s="312"/>
      <c r="K808" s="312"/>
      <c r="L808" s="312"/>
      <c r="N808" s="312"/>
      <c r="O808" s="329"/>
      <c r="P808" s="369"/>
      <c r="Q808" s="312"/>
      <c r="R808" s="312"/>
      <c r="S808" s="312"/>
      <c r="T808" s="312"/>
      <c r="U808" s="312"/>
      <c r="V808" s="312"/>
      <c r="W808" s="312"/>
      <c r="X808" s="312"/>
      <c r="Y808" s="312"/>
      <c r="Z808" s="312"/>
      <c r="AB808" s="132"/>
      <c r="AC808" s="132"/>
      <c r="AD808" s="312"/>
      <c r="AE808" s="207"/>
    </row>
    <row r="809" ht="15" customHeight="1" s="4" customFormat="1">
      <c r="A809" s="207"/>
      <c r="B809" s="328"/>
      <c r="D809" s="4" t="s">
        <v>27</v>
      </c>
      <c r="E809" s="30" t="s">
        <v>173</v>
      </c>
      <c r="F809" s="4" t="s">
        <v>915</v>
      </c>
      <c r="G809" s="133"/>
      <c r="H809" s="313"/>
      <c r="I809" s="312"/>
      <c r="J809" s="312"/>
      <c r="K809" s="312"/>
      <c r="L809" s="312"/>
      <c r="N809" s="312"/>
      <c r="O809" s="329"/>
      <c r="P809" s="369"/>
      <c r="Q809" s="312"/>
      <c r="R809" s="312"/>
      <c r="S809" s="312"/>
      <c r="T809" s="312"/>
      <c r="U809" s="312"/>
      <c r="V809" s="312"/>
      <c r="W809" s="312"/>
      <c r="X809" s="312"/>
      <c r="Y809" s="312"/>
      <c r="Z809" s="312"/>
      <c r="AB809" s="132"/>
      <c r="AC809" s="132"/>
      <c r="AD809" s="312"/>
      <c r="AE809" s="207"/>
    </row>
    <row r="810" ht="15" customHeight="1" s="4" customFormat="1">
      <c r="A810" s="11"/>
      <c r="D810" s="4" t="s">
        <v>916</v>
      </c>
      <c r="E810" s="30" t="s">
        <v>173</v>
      </c>
      <c r="F810" s="4" t="s">
        <v>917</v>
      </c>
      <c r="H810" s="38"/>
      <c r="M810" s="207"/>
      <c r="O810" s="296"/>
      <c r="P810" s="64"/>
      <c r="Z810" s="207"/>
      <c r="AB810" s="132"/>
      <c r="AC810" s="132"/>
      <c r="AD810" s="312"/>
      <c r="AE810" s="207"/>
    </row>
    <row r="811" ht="15" customHeight="1" s="4" customFormat="1">
      <c r="A811" s="11"/>
      <c r="D811" s="4" t="s">
        <v>918</v>
      </c>
      <c r="H811" s="38"/>
      <c r="M811" s="207"/>
      <c r="O811" s="296"/>
      <c r="P811" s="64"/>
      <c r="Z811" s="207"/>
      <c r="AA811" s="152"/>
      <c r="AB811" s="207"/>
      <c r="AE811" s="207"/>
      <c r="AK811" s="30"/>
      <c r="AL811" s="30"/>
    </row>
    <row r="812" ht="15" customHeight="1" s="4" customFormat="1">
      <c r="C812" s="205"/>
      <c r="D812" s="205"/>
      <c r="E812" s="205"/>
      <c r="F812" s="205"/>
      <c r="G812" s="205"/>
      <c r="O812" s="296"/>
      <c r="P812" s="64"/>
      <c r="Z812" s="205"/>
      <c r="AB812" s="207"/>
      <c r="AE812" s="207"/>
    </row>
    <row r="813" ht="15" customHeight="1" s="4" customFormat="1">
      <c r="G813" s="110"/>
      <c r="H813" s="110"/>
      <c r="I813" s="110"/>
      <c r="L813" s="207"/>
      <c r="O813" s="307"/>
      <c r="P813" s="64"/>
      <c r="Z813" s="207"/>
      <c r="AB813" s="207"/>
      <c r="AE813" s="207"/>
    </row>
    <row r="814" ht="15" customHeight="1" s="4" customFormat="1">
      <c r="A814" s="59" t="s">
        <v>919</v>
      </c>
      <c r="G814" s="110"/>
      <c r="H814" s="110"/>
      <c r="I814" s="110"/>
      <c r="L814" s="207"/>
      <c r="O814" s="307"/>
      <c r="P814" s="64"/>
      <c r="Z814" s="205"/>
      <c r="AB814" s="207"/>
      <c r="AE814" s="207"/>
    </row>
    <row r="815" ht="15" customHeight="1" s="4" customFormat="1">
      <c r="A815" s="273" t="s">
        <v>230</v>
      </c>
      <c r="B815" s="494" t="s">
        <v>0</v>
      </c>
      <c r="C815" s="498"/>
      <c r="D815" s="495"/>
      <c r="E815" s="494" t="s">
        <v>1</v>
      </c>
      <c r="F815" s="498"/>
      <c r="G815" s="495"/>
      <c r="H815" s="494" t="s">
        <v>4</v>
      </c>
      <c r="I815" s="498"/>
      <c r="J815" s="495"/>
      <c r="K815" s="334" t="s">
        <v>2</v>
      </c>
      <c r="L815" s="334" t="s">
        <v>920</v>
      </c>
      <c r="M815" s="275" t="s">
        <v>921</v>
      </c>
      <c r="O815" s="308"/>
      <c r="P815" s="64"/>
      <c r="R815" s="207"/>
    </row>
    <row r="816" ht="15" customHeight="1" s="4" customFormat="1">
      <c r="A816" s="276"/>
      <c r="B816" s="285" t="s">
        <v>359</v>
      </c>
      <c r="C816" s="285" t="s">
        <v>360</v>
      </c>
      <c r="D816" s="285" t="s">
        <v>356</v>
      </c>
      <c r="E816" s="285" t="s">
        <v>361</v>
      </c>
      <c r="F816" s="285" t="s">
        <v>357</v>
      </c>
      <c r="G816" s="285" t="s">
        <v>383</v>
      </c>
      <c r="H816" s="285" t="s">
        <v>775</v>
      </c>
      <c r="I816" s="285" t="s">
        <v>776</v>
      </c>
      <c r="J816" s="285" t="s">
        <v>32</v>
      </c>
      <c r="K816" s="302" t="s">
        <v>25</v>
      </c>
      <c r="L816" s="302"/>
      <c r="M816" s="278"/>
      <c r="O816" s="308"/>
      <c r="P816" s="64"/>
    </row>
    <row r="817" ht="15" customHeight="1">
      <c r="A817" s="187">
        <f>A571</f>
        <v>101</v>
      </c>
      <c r="B817" s="174">
        <f>INPUT!H3</f>
        <v>2</v>
      </c>
      <c r="C817" s="174">
        <f>INPUT!I3</f>
        <v>500</v>
      </c>
      <c r="D817" s="174">
        <f>INPUT!J3</f>
        <v>22</v>
      </c>
      <c r="E817" s="174">
        <f>INPUT!K3</f>
        <v>1936.3312351792665</v>
      </c>
      <c r="F817" s="174">
        <f>INPUT!L3</f>
        <v>12</v>
      </c>
      <c r="G817" s="174">
        <f>INPUT!M3</f>
        <v>120</v>
      </c>
      <c r="H817" s="174">
        <f>INPUT!S3</f>
        <v>0</v>
      </c>
      <c r="I817" s="174">
        <f>INPUT!R3</f>
        <v>290</v>
      </c>
      <c r="J817" s="174">
        <f>INPUT!U3</f>
        <v>2400</v>
      </c>
      <c r="K817" s="191">
        <f>INPUT!N3</f>
        <v>2800</v>
      </c>
      <c r="L817" s="175">
        <f>(J817+E817-2*G817)*(K817+D817/2+F817/2)/2</f>
        <v>5769682.5447499966</v>
      </c>
      <c r="M817" s="487">
        <f>(J817+E817-2*G817)*(K817+F817/2+H817+I817/2)/2</f>
        <v>6044136.737507008</v>
      </c>
      <c r="N817" s="4"/>
    </row>
    <row r="818">
      <c r="A818" s="187">
        <f>A572</f>
        <v>101</v>
      </c>
      <c r="B818" s="174">
        <f>INPUT!H4</f>
        <v>2</v>
      </c>
      <c r="C818" s="174">
        <f>INPUT!I4</f>
        <v>500</v>
      </c>
      <c r="D818" s="174">
        <f>INPUT!J4</f>
        <v>22</v>
      </c>
      <c r="E818" s="174">
        <f>INPUT!K4</f>
        <v>1936.3312351792665</v>
      </c>
      <c r="F818" s="174">
        <f>INPUT!L4</f>
        <v>12</v>
      </c>
      <c r="G818" s="174">
        <f>INPUT!M4</f>
        <v>120</v>
      </c>
      <c r="H818" s="174">
        <f>INPUT!S4</f>
        <v>0</v>
      </c>
      <c r="I818" s="174">
        <f>INPUT!R4</f>
        <v>290</v>
      </c>
      <c r="J818" s="174">
        <f>INPUT!U4</f>
        <v>2400</v>
      </c>
      <c r="K818" s="191">
        <f>INPUT!N4</f>
        <v>2800</v>
      </c>
      <c r="L818" s="175">
        <f>(J818+E818-2*G818)*(K818+D818/2+F818/2)/2</f>
        <v>5769682.5447499966</v>
      </c>
      <c r="M818" s="487">
        <f>(J818+E818-2*G818)*(K818+F818/2+H818+I818/2)/2</f>
        <v>6044136.737507008</v>
      </c>
      <c r="N818" s="4"/>
    </row>
    <row r="819">
      <c r="A819" s="187">
        <f>A573</f>
        <v>101</v>
      </c>
      <c r="B819" s="174">
        <f>INPUT!H5</f>
        <v>2</v>
      </c>
      <c r="C819" s="174">
        <f>INPUT!I5</f>
        <v>500</v>
      </c>
      <c r="D819" s="174">
        <f>INPUT!J5</f>
        <v>22</v>
      </c>
      <c r="E819" s="174">
        <f>INPUT!K5</f>
        <v>1936.3312351792665</v>
      </c>
      <c r="F819" s="174">
        <f>INPUT!L5</f>
        <v>12</v>
      </c>
      <c r="G819" s="174">
        <f>INPUT!M5</f>
        <v>120</v>
      </c>
      <c r="H819" s="174">
        <f>INPUT!S5</f>
        <v>0</v>
      </c>
      <c r="I819" s="174">
        <f>INPUT!R5</f>
        <v>290</v>
      </c>
      <c r="J819" s="174">
        <f>INPUT!U5</f>
        <v>2400</v>
      </c>
      <c r="K819" s="191">
        <f>INPUT!N5</f>
        <v>2800</v>
      </c>
      <c r="L819" s="175">
        <f>(J819+E819-2*G819)*(K819+D819/2+F819/2)/2</f>
        <v>5769682.5447499966</v>
      </c>
      <c r="M819" s="487">
        <f>(J819+E819-2*G819)*(K819+F819/2+H819+I819/2)/2</f>
        <v>6044136.737507008</v>
      </c>
      <c r="N819" s="4"/>
    </row>
    <row r="820">
      <c r="A820" s="187">
        <f>A574</f>
        <v>101</v>
      </c>
      <c r="B820" s="174">
        <f>INPUT!H6</f>
        <v>2</v>
      </c>
      <c r="C820" s="174">
        <f>INPUT!I6</f>
        <v>500</v>
      </c>
      <c r="D820" s="174">
        <f>INPUT!J6</f>
        <v>22</v>
      </c>
      <c r="E820" s="174">
        <f>INPUT!K6</f>
        <v>1936.3312351792665</v>
      </c>
      <c r="F820" s="174">
        <f>INPUT!L6</f>
        <v>12</v>
      </c>
      <c r="G820" s="174">
        <f>INPUT!M6</f>
        <v>120</v>
      </c>
      <c r="H820" s="174">
        <f>INPUT!S6</f>
        <v>0</v>
      </c>
      <c r="I820" s="174">
        <f>INPUT!R6</f>
        <v>290</v>
      </c>
      <c r="J820" s="174">
        <f>INPUT!U6</f>
        <v>2400</v>
      </c>
      <c r="K820" s="191">
        <f>INPUT!N6</f>
        <v>2800</v>
      </c>
      <c r="L820" s="175">
        <f>(J820+E820-2*G820)*(K820+D820/2+F820/2)/2</f>
        <v>5769682.5447499966</v>
      </c>
      <c r="M820" s="487">
        <f>(J820+E820-2*G820)*(K820+F820/2+H820+I820/2)/2</f>
        <v>6044136.737507008</v>
      </c>
      <c r="N820" s="4"/>
    </row>
    <row r="821">
      <c r="A821" s="187">
        <f>A575</f>
        <v>101</v>
      </c>
      <c r="B821" s="174">
        <f>INPUT!H7</f>
        <v>2</v>
      </c>
      <c r="C821" s="174">
        <f>INPUT!I7</f>
        <v>500</v>
      </c>
      <c r="D821" s="174">
        <f>INPUT!J7</f>
        <v>22</v>
      </c>
      <c r="E821" s="174">
        <f>INPUT!K7</f>
        <v>1936.3312351792665</v>
      </c>
      <c r="F821" s="174">
        <f>INPUT!L7</f>
        <v>12</v>
      </c>
      <c r="G821" s="174">
        <f>INPUT!M7</f>
        <v>120</v>
      </c>
      <c r="H821" s="174">
        <f>INPUT!S7</f>
        <v>0</v>
      </c>
      <c r="I821" s="174">
        <f>INPUT!R7</f>
        <v>290</v>
      </c>
      <c r="J821" s="174">
        <f>INPUT!U7</f>
        <v>2400</v>
      </c>
      <c r="K821" s="191">
        <f>INPUT!N7</f>
        <v>2800</v>
      </c>
      <c r="L821" s="175">
        <f>(J821+E821-2*G821)*(K821+D821/2+F821/2)/2</f>
        <v>5769682.5447499966</v>
      </c>
      <c r="M821" s="487">
        <f>(J821+E821-2*G821)*(K821+F821/2+H821+I821/2)/2</f>
        <v>6044136.737507008</v>
      </c>
      <c r="N821" s="4"/>
    </row>
    <row r="822">
      <c r="A822" s="187">
        <f>A576</f>
        <v>101</v>
      </c>
      <c r="B822" s="174">
        <f>INPUT!H8</f>
        <v>2</v>
      </c>
      <c r="C822" s="174">
        <f>INPUT!I8</f>
        <v>500</v>
      </c>
      <c r="D822" s="174">
        <f>INPUT!J8</f>
        <v>22</v>
      </c>
      <c r="E822" s="174">
        <f>INPUT!K8</f>
        <v>1936.3312351792665</v>
      </c>
      <c r="F822" s="174">
        <f>INPUT!L8</f>
        <v>12</v>
      </c>
      <c r="G822" s="174">
        <f>INPUT!M8</f>
        <v>120</v>
      </c>
      <c r="H822" s="174">
        <f>INPUT!S8</f>
        <v>0</v>
      </c>
      <c r="I822" s="174">
        <f>INPUT!R8</f>
        <v>290</v>
      </c>
      <c r="J822" s="174">
        <f>INPUT!U8</f>
        <v>2400</v>
      </c>
      <c r="K822" s="191">
        <f>INPUT!N8</f>
        <v>2800</v>
      </c>
      <c r="L822" s="175">
        <f>(J822+E822-2*G822)*(K822+D822/2+F822/2)/2</f>
        <v>5769682.5447499966</v>
      </c>
      <c r="M822" s="487">
        <f>(J822+E822-2*G822)*(K822+F822/2+H822+I822/2)/2</f>
        <v>6044136.737507008</v>
      </c>
      <c r="N822" s="4"/>
    </row>
    <row r="823">
      <c r="A823" s="187">
        <f>A577</f>
        <v>101</v>
      </c>
      <c r="B823" s="174">
        <f>INPUT!H9</f>
        <v>2</v>
      </c>
      <c r="C823" s="174">
        <f>INPUT!I9</f>
        <v>500</v>
      </c>
      <c r="D823" s="174">
        <f>INPUT!J9</f>
        <v>22</v>
      </c>
      <c r="E823" s="174">
        <f>INPUT!K9</f>
        <v>1936.3312351792665</v>
      </c>
      <c r="F823" s="174">
        <f>INPUT!L9</f>
        <v>12</v>
      </c>
      <c r="G823" s="174">
        <f>INPUT!M9</f>
        <v>120</v>
      </c>
      <c r="H823" s="174">
        <f>INPUT!S9</f>
        <v>0</v>
      </c>
      <c r="I823" s="174">
        <f>INPUT!R9</f>
        <v>290</v>
      </c>
      <c r="J823" s="174">
        <f>INPUT!U9</f>
        <v>2400</v>
      </c>
      <c r="K823" s="191">
        <f>INPUT!N9</f>
        <v>2800</v>
      </c>
      <c r="L823" s="175">
        <f>(J823+E823-2*G823)*(K823+D823/2+F823/2)/2</f>
        <v>5769682.5447499966</v>
      </c>
      <c r="M823" s="487">
        <f>(J823+E823-2*G823)*(K823+F823/2+H823+I823/2)/2</f>
        <v>6044136.737507008</v>
      </c>
      <c r="N823" s="4"/>
    </row>
    <row r="824">
      <c r="A824" s="187">
        <f>A578</f>
        <v>101</v>
      </c>
      <c r="B824" s="174">
        <f>INPUT!H10</f>
        <v>2</v>
      </c>
      <c r="C824" s="174">
        <f>INPUT!I10</f>
        <v>500</v>
      </c>
      <c r="D824" s="174">
        <f>INPUT!J10</f>
        <v>22</v>
      </c>
      <c r="E824" s="174">
        <f>INPUT!K10</f>
        <v>1936.3312351792665</v>
      </c>
      <c r="F824" s="174">
        <f>INPUT!L10</f>
        <v>12</v>
      </c>
      <c r="G824" s="174">
        <f>INPUT!M10</f>
        <v>120</v>
      </c>
      <c r="H824" s="174">
        <f>INPUT!S10</f>
        <v>0</v>
      </c>
      <c r="I824" s="174">
        <f>INPUT!R10</f>
        <v>290</v>
      </c>
      <c r="J824" s="174">
        <f>INPUT!U10</f>
        <v>2400</v>
      </c>
      <c r="K824" s="191">
        <f>INPUT!N10</f>
        <v>2800</v>
      </c>
      <c r="L824" s="175">
        <f>(J824+E824-2*G824)*(K824+D824/2+F824/2)/2</f>
        <v>5769682.5447499966</v>
      </c>
      <c r="M824" s="487">
        <f>(J824+E824-2*G824)*(K824+F824/2+H824+I824/2)/2</f>
        <v>6044136.737507008</v>
      </c>
      <c r="N824" s="4"/>
    </row>
    <row r="825">
      <c r="A825" s="187">
        <f>A579</f>
        <v>101</v>
      </c>
      <c r="B825" s="174">
        <f>INPUT!H11</f>
        <v>2</v>
      </c>
      <c r="C825" s="174">
        <f>INPUT!I11</f>
        <v>500</v>
      </c>
      <c r="D825" s="174">
        <f>INPUT!J11</f>
        <v>22</v>
      </c>
      <c r="E825" s="174">
        <f>INPUT!K11</f>
        <v>1936.3312351792665</v>
      </c>
      <c r="F825" s="174">
        <f>INPUT!L11</f>
        <v>12</v>
      </c>
      <c r="G825" s="174">
        <f>INPUT!M11</f>
        <v>120</v>
      </c>
      <c r="H825" s="174">
        <f>INPUT!S11</f>
        <v>0</v>
      </c>
      <c r="I825" s="174">
        <f>INPUT!R11</f>
        <v>290</v>
      </c>
      <c r="J825" s="174">
        <f>INPUT!U11</f>
        <v>2400</v>
      </c>
      <c r="K825" s="191">
        <f>INPUT!N11</f>
        <v>2800</v>
      </c>
      <c r="L825" s="175">
        <f>(J825+E825-2*G825)*(K825+D825/2+F825/2)/2</f>
        <v>5769682.5447499966</v>
      </c>
      <c r="M825" s="487">
        <f>(J825+E825-2*G825)*(K825+F825/2+H825+I825/2)/2</f>
        <v>6044136.737507008</v>
      </c>
      <c r="N825" s="4"/>
    </row>
    <row r="826">
      <c r="A826" s="187">
        <f>A580</f>
        <v>101</v>
      </c>
      <c r="B826" s="174">
        <f>INPUT!H12</f>
        <v>2</v>
      </c>
      <c r="C826" s="174">
        <f>INPUT!I12</f>
        <v>500</v>
      </c>
      <c r="D826" s="174">
        <f>INPUT!J12</f>
        <v>22</v>
      </c>
      <c r="E826" s="174">
        <f>INPUT!K12</f>
        <v>1936.3312351792665</v>
      </c>
      <c r="F826" s="174">
        <f>INPUT!L12</f>
        <v>12</v>
      </c>
      <c r="G826" s="174">
        <f>INPUT!M12</f>
        <v>120</v>
      </c>
      <c r="H826" s="174">
        <f>INPUT!S12</f>
        <v>0</v>
      </c>
      <c r="I826" s="174">
        <f>INPUT!R12</f>
        <v>290</v>
      </c>
      <c r="J826" s="174">
        <f>INPUT!U12</f>
        <v>2400</v>
      </c>
      <c r="K826" s="191">
        <f>INPUT!N12</f>
        <v>2800</v>
      </c>
      <c r="L826" s="175">
        <f>(J826+E826-2*G826)*(K826+D826/2+F826/2)/2</f>
        <v>5769682.5447499966</v>
      </c>
      <c r="M826" s="487">
        <f>(J826+E826-2*G826)*(K826+F826/2+H826+I826/2)/2</f>
        <v>6044136.737507008</v>
      </c>
      <c r="N826" s="4"/>
    </row>
    <row r="827">
      <c r="A827" s="187">
        <f>A581</f>
        <v>101</v>
      </c>
      <c r="B827" s="174">
        <f>INPUT!H13</f>
        <v>2</v>
      </c>
      <c r="C827" s="174">
        <f>INPUT!I13</f>
        <v>500</v>
      </c>
      <c r="D827" s="174">
        <f>INPUT!J13</f>
        <v>22</v>
      </c>
      <c r="E827" s="174">
        <f>INPUT!K13</f>
        <v>1936.3312351792665</v>
      </c>
      <c r="F827" s="174">
        <f>INPUT!L13</f>
        <v>12</v>
      </c>
      <c r="G827" s="174">
        <f>INPUT!M13</f>
        <v>120</v>
      </c>
      <c r="H827" s="174">
        <f>INPUT!S13</f>
        <v>0</v>
      </c>
      <c r="I827" s="174">
        <f>INPUT!R13</f>
        <v>290</v>
      </c>
      <c r="J827" s="174">
        <f>INPUT!U13</f>
        <v>2400</v>
      </c>
      <c r="K827" s="191">
        <f>INPUT!N13</f>
        <v>2800</v>
      </c>
      <c r="L827" s="175">
        <f>(J827+E827-2*G827)*(K827+D827/2+F827/2)/2</f>
        <v>5769682.5447499966</v>
      </c>
      <c r="M827" s="487">
        <f>(J827+E827-2*G827)*(K827+F827/2+H827+I827/2)/2</f>
        <v>6044136.737507008</v>
      </c>
      <c r="N827" s="4"/>
    </row>
    <row r="828">
      <c r="A828" s="187">
        <f>A582</f>
        <v>101</v>
      </c>
      <c r="B828" s="174">
        <f>INPUT!H14</f>
        <v>2</v>
      </c>
      <c r="C828" s="174">
        <f>INPUT!I14</f>
        <v>500</v>
      </c>
      <c r="D828" s="174">
        <f>INPUT!J14</f>
        <v>22</v>
      </c>
      <c r="E828" s="174">
        <f>INPUT!K14</f>
        <v>1936.3312351792665</v>
      </c>
      <c r="F828" s="174">
        <f>INPUT!L14</f>
        <v>12</v>
      </c>
      <c r="G828" s="174">
        <f>INPUT!M14</f>
        <v>120</v>
      </c>
      <c r="H828" s="174">
        <f>INPUT!S14</f>
        <v>0</v>
      </c>
      <c r="I828" s="174">
        <f>INPUT!R14</f>
        <v>290</v>
      </c>
      <c r="J828" s="174">
        <f>INPUT!U14</f>
        <v>2400</v>
      </c>
      <c r="K828" s="191">
        <f>INPUT!N14</f>
        <v>2800</v>
      </c>
      <c r="L828" s="175">
        <f>(J828+E828-2*G828)*(K828+D828/2+F828/2)/2</f>
        <v>5769682.5447499966</v>
      </c>
      <c r="M828" s="487">
        <f>(J828+E828-2*G828)*(K828+F828/2+H828+I828/2)/2</f>
        <v>6044136.737507008</v>
      </c>
      <c r="N828" s="4"/>
    </row>
    <row r="829">
      <c r="A829" s="187">
        <f>A583</f>
        <v>101</v>
      </c>
      <c r="B829" s="174">
        <f>INPUT!H15</f>
        <v>2</v>
      </c>
      <c r="C829" s="174">
        <f>INPUT!I15</f>
        <v>500</v>
      </c>
      <c r="D829" s="174">
        <f>INPUT!J15</f>
        <v>22</v>
      </c>
      <c r="E829" s="174">
        <f>INPUT!K15</f>
        <v>1936.3312351792665</v>
      </c>
      <c r="F829" s="174">
        <f>INPUT!L15</f>
        <v>12</v>
      </c>
      <c r="G829" s="174">
        <f>INPUT!M15</f>
        <v>120</v>
      </c>
      <c r="H829" s="174">
        <f>INPUT!S15</f>
        <v>0</v>
      </c>
      <c r="I829" s="174">
        <f>INPUT!R15</f>
        <v>290</v>
      </c>
      <c r="J829" s="174">
        <f>INPUT!U15</f>
        <v>2400</v>
      </c>
      <c r="K829" s="191">
        <f>INPUT!N15</f>
        <v>2800</v>
      </c>
      <c r="L829" s="175">
        <f>(J829+E829-2*G829)*(K829+D829/2+F829/2)/2</f>
        <v>5769682.5447499966</v>
      </c>
      <c r="M829" s="487">
        <f>(J829+E829-2*G829)*(K829+F829/2+H829+I829/2)/2</f>
        <v>6044136.737507008</v>
      </c>
      <c r="N829" s="4"/>
    </row>
    <row r="830">
      <c r="A830" s="187">
        <f>A584</f>
        <v>101</v>
      </c>
      <c r="B830" s="174">
        <f>INPUT!H16</f>
        <v>2</v>
      </c>
      <c r="C830" s="174">
        <f>INPUT!I16</f>
        <v>500</v>
      </c>
      <c r="D830" s="174">
        <f>INPUT!J16</f>
        <v>22</v>
      </c>
      <c r="E830" s="174">
        <f>INPUT!K16</f>
        <v>1936.3312351792665</v>
      </c>
      <c r="F830" s="174">
        <f>INPUT!L16</f>
        <v>12</v>
      </c>
      <c r="G830" s="174">
        <f>INPUT!M16</f>
        <v>120</v>
      </c>
      <c r="H830" s="174">
        <f>INPUT!S16</f>
        <v>0</v>
      </c>
      <c r="I830" s="174">
        <f>INPUT!R16</f>
        <v>290</v>
      </c>
      <c r="J830" s="174">
        <f>INPUT!U16</f>
        <v>2400</v>
      </c>
      <c r="K830" s="191">
        <f>INPUT!N16</f>
        <v>2800</v>
      </c>
      <c r="L830" s="175">
        <f>(J830+E830-2*G830)*(K830+D830/2+F830/2)/2</f>
        <v>5769682.5447499966</v>
      </c>
      <c r="M830" s="487">
        <f>(J830+E830-2*G830)*(K830+F830/2+H830+I830/2)/2</f>
        <v>6044136.737507008</v>
      </c>
      <c r="N830" s="4"/>
    </row>
    <row r="831">
      <c r="A831" s="187">
        <f>A585</f>
        <v>101</v>
      </c>
      <c r="B831" s="174">
        <f>INPUT!H17</f>
        <v>2</v>
      </c>
      <c r="C831" s="174">
        <f>INPUT!I17</f>
        <v>500</v>
      </c>
      <c r="D831" s="174">
        <f>INPUT!J17</f>
        <v>22</v>
      </c>
      <c r="E831" s="174">
        <f>INPUT!K17</f>
        <v>1936.3312351792665</v>
      </c>
      <c r="F831" s="174">
        <f>INPUT!L17</f>
        <v>12</v>
      </c>
      <c r="G831" s="174">
        <f>INPUT!M17</f>
        <v>120</v>
      </c>
      <c r="H831" s="174">
        <f>INPUT!S17</f>
        <v>0</v>
      </c>
      <c r="I831" s="174">
        <f>INPUT!R17</f>
        <v>290</v>
      </c>
      <c r="J831" s="174">
        <f>INPUT!U17</f>
        <v>2400</v>
      </c>
      <c r="K831" s="191">
        <f>INPUT!N17</f>
        <v>2800</v>
      </c>
      <c r="L831" s="175">
        <f>(J831+E831-2*G831)*(K831+D831/2+F831/2)/2</f>
        <v>5769682.5447499966</v>
      </c>
      <c r="M831" s="487">
        <f>(J831+E831-2*G831)*(K831+F831/2+H831+I831/2)/2</f>
        <v>6044136.737507008</v>
      </c>
      <c r="N831" s="4"/>
    </row>
    <row r="832">
      <c r="A832" s="187">
        <f>A586</f>
        <v>101</v>
      </c>
      <c r="B832" s="174">
        <f>INPUT!H18</f>
        <v>2</v>
      </c>
      <c r="C832" s="174">
        <f>INPUT!I18</f>
        <v>500</v>
      </c>
      <c r="D832" s="174">
        <f>INPUT!J18</f>
        <v>22</v>
      </c>
      <c r="E832" s="174">
        <f>INPUT!K18</f>
        <v>1936.3312351792665</v>
      </c>
      <c r="F832" s="174">
        <f>INPUT!L18</f>
        <v>12</v>
      </c>
      <c r="G832" s="174">
        <f>INPUT!M18</f>
        <v>120</v>
      </c>
      <c r="H832" s="174">
        <f>INPUT!S18</f>
        <v>0</v>
      </c>
      <c r="I832" s="174">
        <f>INPUT!R18</f>
        <v>290</v>
      </c>
      <c r="J832" s="174">
        <f>INPUT!U18</f>
        <v>2400</v>
      </c>
      <c r="K832" s="191">
        <f>INPUT!N18</f>
        <v>2800</v>
      </c>
      <c r="L832" s="175">
        <f>(J832+E832-2*G832)*(K832+D832/2+F832/2)/2</f>
        <v>5769682.5447499966</v>
      </c>
      <c r="M832" s="487">
        <f>(J832+E832-2*G832)*(K832+F832/2+H832+I832/2)/2</f>
        <v>6044136.737507008</v>
      </c>
      <c r="N832" s="4"/>
    </row>
    <row r="833">
      <c r="A833" s="187">
        <f>A587</f>
        <v>101</v>
      </c>
      <c r="B833" s="174">
        <f>INPUT!H19</f>
        <v>2</v>
      </c>
      <c r="C833" s="174">
        <f>INPUT!I19</f>
        <v>500</v>
      </c>
      <c r="D833" s="174">
        <f>INPUT!J19</f>
        <v>22</v>
      </c>
      <c r="E833" s="174">
        <f>INPUT!K19</f>
        <v>1936.3312351792665</v>
      </c>
      <c r="F833" s="174">
        <f>INPUT!L19</f>
        <v>12</v>
      </c>
      <c r="G833" s="174">
        <f>INPUT!M19</f>
        <v>120</v>
      </c>
      <c r="H833" s="174">
        <f>INPUT!S19</f>
        <v>0</v>
      </c>
      <c r="I833" s="174">
        <f>INPUT!R19</f>
        <v>290</v>
      </c>
      <c r="J833" s="174">
        <f>INPUT!U19</f>
        <v>2400</v>
      </c>
      <c r="K833" s="191">
        <f>INPUT!N19</f>
        <v>2800</v>
      </c>
      <c r="L833" s="175">
        <f>(J833+E833-2*G833)*(K833+D833/2+F833/2)/2</f>
        <v>5769682.5447499966</v>
      </c>
      <c r="M833" s="487">
        <f>(J833+E833-2*G833)*(K833+F833/2+H833+I833/2)/2</f>
        <v>6044136.737507008</v>
      </c>
      <c r="N833" s="4"/>
    </row>
    <row r="834">
      <c r="A834" s="187">
        <f>A588</f>
        <v>101</v>
      </c>
      <c r="B834" s="174">
        <f>INPUT!H20</f>
        <v>2</v>
      </c>
      <c r="C834" s="174">
        <f>INPUT!I20</f>
        <v>500</v>
      </c>
      <c r="D834" s="174">
        <f>INPUT!J20</f>
        <v>22</v>
      </c>
      <c r="E834" s="174">
        <f>INPUT!K20</f>
        <v>1936.3312351792665</v>
      </c>
      <c r="F834" s="174">
        <f>INPUT!L20</f>
        <v>12</v>
      </c>
      <c r="G834" s="174">
        <f>INPUT!M20</f>
        <v>120</v>
      </c>
      <c r="H834" s="174">
        <f>INPUT!S20</f>
        <v>0</v>
      </c>
      <c r="I834" s="174">
        <f>INPUT!R20</f>
        <v>290</v>
      </c>
      <c r="J834" s="174">
        <f>INPUT!U20</f>
        <v>2400</v>
      </c>
      <c r="K834" s="191">
        <f>INPUT!N20</f>
        <v>2800</v>
      </c>
      <c r="L834" s="175">
        <f>(J834+E834-2*G834)*(K834+D834/2+F834/2)/2</f>
        <v>5769682.5447499966</v>
      </c>
      <c r="M834" s="487">
        <f>(J834+E834-2*G834)*(K834+F834/2+H834+I834/2)/2</f>
        <v>6044136.737507008</v>
      </c>
      <c r="N834" s="4"/>
    </row>
    <row r="835">
      <c r="A835" s="187">
        <f>A589</f>
        <v>101</v>
      </c>
      <c r="B835" s="174">
        <f>INPUT!H21</f>
        <v>2</v>
      </c>
      <c r="C835" s="174">
        <f>INPUT!I21</f>
        <v>500</v>
      </c>
      <c r="D835" s="174">
        <f>INPUT!J21</f>
        <v>22</v>
      </c>
      <c r="E835" s="174">
        <f>INPUT!K21</f>
        <v>1936.3312351792665</v>
      </c>
      <c r="F835" s="174">
        <f>INPUT!L21</f>
        <v>12</v>
      </c>
      <c r="G835" s="174">
        <f>INPUT!M21</f>
        <v>120</v>
      </c>
      <c r="H835" s="174">
        <f>INPUT!S21</f>
        <v>0</v>
      </c>
      <c r="I835" s="174">
        <f>INPUT!R21</f>
        <v>290</v>
      </c>
      <c r="J835" s="174">
        <f>INPUT!U21</f>
        <v>2400</v>
      </c>
      <c r="K835" s="191">
        <f>INPUT!N21</f>
        <v>2800</v>
      </c>
      <c r="L835" s="175">
        <f>(J835+E835-2*G835)*(K835+D835/2+F835/2)/2</f>
        <v>5769682.5447499966</v>
      </c>
      <c r="M835" s="487">
        <f>(J835+E835-2*G835)*(K835+F835/2+H835+I835/2)/2</f>
        <v>6044136.737507008</v>
      </c>
      <c r="N835" s="4"/>
    </row>
    <row r="836">
      <c r="A836" s="187">
        <f>A590</f>
        <v>101</v>
      </c>
      <c r="B836" s="174">
        <f>INPUT!H22</f>
        <v>2</v>
      </c>
      <c r="C836" s="174">
        <f>INPUT!I22</f>
        <v>500</v>
      </c>
      <c r="D836" s="174">
        <f>INPUT!J22</f>
        <v>22</v>
      </c>
      <c r="E836" s="174">
        <f>INPUT!K22</f>
        <v>1936.3312351792665</v>
      </c>
      <c r="F836" s="174">
        <f>INPUT!L22</f>
        <v>12</v>
      </c>
      <c r="G836" s="174">
        <f>INPUT!M22</f>
        <v>120</v>
      </c>
      <c r="H836" s="174">
        <f>INPUT!S22</f>
        <v>0</v>
      </c>
      <c r="I836" s="174">
        <f>INPUT!R22</f>
        <v>290</v>
      </c>
      <c r="J836" s="174">
        <f>INPUT!U22</f>
        <v>2400</v>
      </c>
      <c r="K836" s="191">
        <f>INPUT!N22</f>
        <v>2800</v>
      </c>
      <c r="L836" s="175">
        <f>(J836+E836-2*G836)*(K836+D836/2+F836/2)/2</f>
        <v>5769682.5447499966</v>
      </c>
      <c r="M836" s="487">
        <f>(J836+E836-2*G836)*(K836+F836/2+H836+I836/2)/2</f>
        <v>6044136.737507008</v>
      </c>
      <c r="N836" s="4"/>
    </row>
    <row r="837">
      <c r="A837" s="187">
        <f>A591</f>
        <v>101</v>
      </c>
      <c r="B837" s="174">
        <f>INPUT!H23</f>
        <v>2</v>
      </c>
      <c r="C837" s="174">
        <f>INPUT!I23</f>
        <v>500</v>
      </c>
      <c r="D837" s="174">
        <f>INPUT!J23</f>
        <v>22</v>
      </c>
      <c r="E837" s="174">
        <f>INPUT!K23</f>
        <v>1936.3312351792665</v>
      </c>
      <c r="F837" s="174">
        <f>INPUT!L23</f>
        <v>12</v>
      </c>
      <c r="G837" s="174">
        <f>INPUT!M23</f>
        <v>120</v>
      </c>
      <c r="H837" s="174">
        <f>INPUT!S23</f>
        <v>0</v>
      </c>
      <c r="I837" s="174">
        <f>INPUT!R23</f>
        <v>290</v>
      </c>
      <c r="J837" s="174">
        <f>INPUT!U23</f>
        <v>2400</v>
      </c>
      <c r="K837" s="191">
        <f>INPUT!N23</f>
        <v>2800</v>
      </c>
      <c r="L837" s="175">
        <f>(J837+E837-2*G837)*(K837+D837/2+F837/2)/2</f>
        <v>5769682.5447499966</v>
      </c>
      <c r="M837" s="487">
        <f>(J837+E837-2*G837)*(K837+F837/2+H837+I837/2)/2</f>
        <v>6044136.737507008</v>
      </c>
      <c r="N837" s="4"/>
    </row>
    <row r="838">
      <c r="A838" s="187">
        <f>A592</f>
        <v>101</v>
      </c>
      <c r="B838" s="174">
        <f>INPUT!H24</f>
        <v>2</v>
      </c>
      <c r="C838" s="174">
        <f>INPUT!I24</f>
        <v>500</v>
      </c>
      <c r="D838" s="174">
        <f>INPUT!J24</f>
        <v>22</v>
      </c>
      <c r="E838" s="174">
        <f>INPUT!K24</f>
        <v>1936.3312351792665</v>
      </c>
      <c r="F838" s="174">
        <f>INPUT!L24</f>
        <v>12</v>
      </c>
      <c r="G838" s="174">
        <f>INPUT!M24</f>
        <v>120</v>
      </c>
      <c r="H838" s="174">
        <f>INPUT!S24</f>
        <v>0</v>
      </c>
      <c r="I838" s="174">
        <f>INPUT!R24</f>
        <v>290</v>
      </c>
      <c r="J838" s="174">
        <f>INPUT!U24</f>
        <v>2400</v>
      </c>
      <c r="K838" s="191">
        <f>INPUT!N24</f>
        <v>2800</v>
      </c>
      <c r="L838" s="175">
        <f>(J838+E838-2*G838)*(K838+D838/2+F838/2)/2</f>
        <v>5769682.5447499966</v>
      </c>
      <c r="M838" s="487">
        <f>(J838+E838-2*G838)*(K838+F838/2+H838+I838/2)/2</f>
        <v>6044136.737507008</v>
      </c>
      <c r="N838" s="4"/>
    </row>
    <row r="839">
      <c r="A839" s="187">
        <f>A593</f>
        <v>101</v>
      </c>
      <c r="B839" s="174">
        <f>INPUT!H25</f>
        <v>2</v>
      </c>
      <c r="C839" s="174">
        <f>INPUT!I25</f>
        <v>500</v>
      </c>
      <c r="D839" s="174">
        <f>INPUT!J25</f>
        <v>22</v>
      </c>
      <c r="E839" s="174">
        <f>INPUT!K25</f>
        <v>1936.3312351792665</v>
      </c>
      <c r="F839" s="174">
        <f>INPUT!L25</f>
        <v>12</v>
      </c>
      <c r="G839" s="174">
        <f>INPUT!M25</f>
        <v>120</v>
      </c>
      <c r="H839" s="174">
        <f>INPUT!S25</f>
        <v>0</v>
      </c>
      <c r="I839" s="174">
        <f>INPUT!R25</f>
        <v>290</v>
      </c>
      <c r="J839" s="174">
        <f>INPUT!U25</f>
        <v>2400</v>
      </c>
      <c r="K839" s="191">
        <f>INPUT!N25</f>
        <v>2800</v>
      </c>
      <c r="L839" s="175">
        <f>(J839+E839-2*G839)*(K839+D839/2+F839/2)/2</f>
        <v>5769682.5447499966</v>
      </c>
      <c r="M839" s="487">
        <f>(J839+E839-2*G839)*(K839+F839/2+H839+I839/2)/2</f>
        <v>6044136.737507008</v>
      </c>
      <c r="N839" s="4"/>
    </row>
    <row r="840">
      <c r="A840" s="187">
        <f>A594</f>
        <v>101</v>
      </c>
      <c r="B840" s="174">
        <f>INPUT!H26</f>
        <v>2</v>
      </c>
      <c r="C840" s="174">
        <f>INPUT!I26</f>
        <v>500</v>
      </c>
      <c r="D840" s="174">
        <f>INPUT!J26</f>
        <v>22</v>
      </c>
      <c r="E840" s="174">
        <f>INPUT!K26</f>
        <v>1936.3312351792665</v>
      </c>
      <c r="F840" s="174">
        <f>INPUT!L26</f>
        <v>12</v>
      </c>
      <c r="G840" s="174">
        <f>INPUT!M26</f>
        <v>120</v>
      </c>
      <c r="H840" s="174">
        <f>INPUT!S26</f>
        <v>0</v>
      </c>
      <c r="I840" s="174">
        <f>INPUT!R26</f>
        <v>290</v>
      </c>
      <c r="J840" s="174">
        <f>INPUT!U26</f>
        <v>2400</v>
      </c>
      <c r="K840" s="191">
        <f>INPUT!N26</f>
        <v>2800</v>
      </c>
      <c r="L840" s="175">
        <f>(J840+E840-2*G840)*(K840+D840/2+F840/2)/2</f>
        <v>5769682.5447499966</v>
      </c>
      <c r="M840" s="487">
        <f>(J840+E840-2*G840)*(K840+F840/2+H840+I840/2)/2</f>
        <v>6044136.737507008</v>
      </c>
      <c r="N840" s="4"/>
    </row>
    <row r="841">
      <c r="A841" s="187">
        <f>A595</f>
        <v>101</v>
      </c>
      <c r="B841" s="174">
        <f>INPUT!H27</f>
        <v>2</v>
      </c>
      <c r="C841" s="174">
        <f>INPUT!I27</f>
        <v>500</v>
      </c>
      <c r="D841" s="174">
        <f>INPUT!J27</f>
        <v>22</v>
      </c>
      <c r="E841" s="174">
        <f>INPUT!K27</f>
        <v>1936.3312351792665</v>
      </c>
      <c r="F841" s="174">
        <f>INPUT!L27</f>
        <v>12</v>
      </c>
      <c r="G841" s="174">
        <f>INPUT!M27</f>
        <v>120</v>
      </c>
      <c r="H841" s="174">
        <f>INPUT!S27</f>
        <v>0</v>
      </c>
      <c r="I841" s="174">
        <f>INPUT!R27</f>
        <v>290</v>
      </c>
      <c r="J841" s="174">
        <f>INPUT!U27</f>
        <v>2400</v>
      </c>
      <c r="K841" s="191">
        <f>INPUT!N27</f>
        <v>2800</v>
      </c>
      <c r="L841" s="175">
        <f>(J841+E841-2*G841)*(K841+D841/2+F841/2)/2</f>
        <v>5769682.5447499966</v>
      </c>
      <c r="M841" s="487">
        <f>(J841+E841-2*G841)*(K841+F841/2+H841+I841/2)/2</f>
        <v>6044136.737507008</v>
      </c>
      <c r="N841" s="4"/>
    </row>
    <row r="842">
      <c r="A842" s="187">
        <f>A596</f>
        <v>101</v>
      </c>
      <c r="B842" s="174">
        <f>INPUT!H28</f>
        <v>2</v>
      </c>
      <c r="C842" s="174">
        <f>INPUT!I28</f>
        <v>500</v>
      </c>
      <c r="D842" s="174">
        <f>INPUT!J28</f>
        <v>22</v>
      </c>
      <c r="E842" s="174">
        <f>INPUT!K28</f>
        <v>1936.3312351792665</v>
      </c>
      <c r="F842" s="174">
        <f>INPUT!L28</f>
        <v>12</v>
      </c>
      <c r="G842" s="174">
        <f>INPUT!M28</f>
        <v>120</v>
      </c>
      <c r="H842" s="174">
        <f>INPUT!S28</f>
        <v>0</v>
      </c>
      <c r="I842" s="174">
        <f>INPUT!R28</f>
        <v>290</v>
      </c>
      <c r="J842" s="174">
        <f>INPUT!U28</f>
        <v>2400</v>
      </c>
      <c r="K842" s="191">
        <f>INPUT!N28</f>
        <v>2800</v>
      </c>
      <c r="L842" s="175">
        <f>(J842+E842-2*G842)*(K842+D842/2+F842/2)/2</f>
        <v>5769682.5447499966</v>
      </c>
      <c r="M842" s="487">
        <f>(J842+E842-2*G842)*(K842+F842/2+H842+I842/2)/2</f>
        <v>6044136.737507008</v>
      </c>
      <c r="N842" s="4"/>
    </row>
    <row r="843">
      <c r="A843" s="187">
        <f>A597</f>
        <v>101</v>
      </c>
      <c r="B843" s="174">
        <f>INPUT!H29</f>
        <v>2</v>
      </c>
      <c r="C843" s="174">
        <f>INPUT!I29</f>
        <v>500</v>
      </c>
      <c r="D843" s="174">
        <f>INPUT!J29</f>
        <v>22</v>
      </c>
      <c r="E843" s="174">
        <f>INPUT!K29</f>
        <v>1936.3312351792665</v>
      </c>
      <c r="F843" s="174">
        <f>INPUT!L29</f>
        <v>12</v>
      </c>
      <c r="G843" s="174">
        <f>INPUT!M29</f>
        <v>120</v>
      </c>
      <c r="H843" s="174">
        <f>INPUT!S29</f>
        <v>0</v>
      </c>
      <c r="I843" s="174">
        <f>INPUT!R29</f>
        <v>290</v>
      </c>
      <c r="J843" s="174">
        <f>INPUT!U29</f>
        <v>2400</v>
      </c>
      <c r="K843" s="191">
        <f>INPUT!N29</f>
        <v>2800</v>
      </c>
      <c r="L843" s="175">
        <f>(J843+E843-2*G843)*(K843+D843/2+F843/2)/2</f>
        <v>5769682.5447499966</v>
      </c>
      <c r="M843" s="487">
        <f>(J843+E843-2*G843)*(K843+F843/2+H843+I843/2)/2</f>
        <v>6044136.737507008</v>
      </c>
      <c r="N843" s="4"/>
    </row>
    <row r="844">
      <c r="A844" s="187">
        <f>A598</f>
        <v>101</v>
      </c>
      <c r="B844" s="174">
        <f>INPUT!H30</f>
        <v>2</v>
      </c>
      <c r="C844" s="174">
        <f>INPUT!I30</f>
        <v>500</v>
      </c>
      <c r="D844" s="174">
        <f>INPUT!J30</f>
        <v>22</v>
      </c>
      <c r="E844" s="174">
        <f>INPUT!K30</f>
        <v>1936.3312351792665</v>
      </c>
      <c r="F844" s="174">
        <f>INPUT!L30</f>
        <v>12</v>
      </c>
      <c r="G844" s="174">
        <f>INPUT!M30</f>
        <v>120</v>
      </c>
      <c r="H844" s="174">
        <f>INPUT!S30</f>
        <v>0</v>
      </c>
      <c r="I844" s="174">
        <f>INPUT!R30</f>
        <v>290</v>
      </c>
      <c r="J844" s="174">
        <f>INPUT!U30</f>
        <v>2400</v>
      </c>
      <c r="K844" s="191">
        <f>INPUT!N30</f>
        <v>2800</v>
      </c>
      <c r="L844" s="175">
        <f>(J844+E844-2*G844)*(K844+D844/2+F844/2)/2</f>
        <v>5769682.5447499966</v>
      </c>
      <c r="M844" s="487">
        <f>(J844+E844-2*G844)*(K844+F844/2+H844+I844/2)/2</f>
        <v>6044136.737507008</v>
      </c>
      <c r="N844" s="4"/>
    </row>
    <row r="845">
      <c r="A845" s="187">
        <f>A599</f>
        <v>101</v>
      </c>
      <c r="B845" s="174">
        <f>INPUT!H31</f>
        <v>2</v>
      </c>
      <c r="C845" s="174">
        <f>INPUT!I31</f>
        <v>500</v>
      </c>
      <c r="D845" s="174">
        <f>INPUT!J31</f>
        <v>22</v>
      </c>
      <c r="E845" s="174">
        <f>INPUT!K31</f>
        <v>1936.3312351792665</v>
      </c>
      <c r="F845" s="174">
        <f>INPUT!L31</f>
        <v>12</v>
      </c>
      <c r="G845" s="174">
        <f>INPUT!M31</f>
        <v>120</v>
      </c>
      <c r="H845" s="174">
        <f>INPUT!S31</f>
        <v>0</v>
      </c>
      <c r="I845" s="174">
        <f>INPUT!R31</f>
        <v>290</v>
      </c>
      <c r="J845" s="174">
        <f>INPUT!U31</f>
        <v>2400</v>
      </c>
      <c r="K845" s="191">
        <f>INPUT!N31</f>
        <v>2800</v>
      </c>
      <c r="L845" s="175">
        <f>(J845+E845-2*G845)*(K845+D845/2+F845/2)/2</f>
        <v>5769682.5447499966</v>
      </c>
      <c r="M845" s="487">
        <f>(J845+E845-2*G845)*(K845+F845/2+H845+I845/2)/2</f>
        <v>6044136.737507008</v>
      </c>
      <c r="N845" s="4"/>
    </row>
    <row r="846">
      <c r="A846" s="187">
        <f>A600</f>
        <v>101</v>
      </c>
      <c r="B846" s="174">
        <f>INPUT!H32</f>
        <v>2</v>
      </c>
      <c r="C846" s="174">
        <f>INPUT!I32</f>
        <v>500</v>
      </c>
      <c r="D846" s="174">
        <f>INPUT!J32</f>
        <v>22</v>
      </c>
      <c r="E846" s="174">
        <f>INPUT!K32</f>
        <v>1936.3312351792665</v>
      </c>
      <c r="F846" s="174">
        <f>INPUT!L32</f>
        <v>12</v>
      </c>
      <c r="G846" s="174">
        <f>INPUT!M32</f>
        <v>120</v>
      </c>
      <c r="H846" s="174">
        <f>INPUT!S32</f>
        <v>0</v>
      </c>
      <c r="I846" s="174">
        <f>INPUT!R32</f>
        <v>290</v>
      </c>
      <c r="J846" s="174">
        <f>INPUT!U32</f>
        <v>2400</v>
      </c>
      <c r="K846" s="191">
        <f>INPUT!N32</f>
        <v>2800</v>
      </c>
      <c r="L846" s="175">
        <f>(J846+E846-2*G846)*(K846+D846/2+F846/2)/2</f>
        <v>5769682.5447499966</v>
      </c>
      <c r="M846" s="487">
        <f>(J846+E846-2*G846)*(K846+F846/2+H846+I846/2)/2</f>
        <v>6044136.737507008</v>
      </c>
      <c r="N846" s="4"/>
    </row>
    <row r="847">
      <c r="A847" s="187">
        <f>A601</f>
        <v>101</v>
      </c>
      <c r="B847" s="174">
        <f>INPUT!H33</f>
        <v>2</v>
      </c>
      <c r="C847" s="174">
        <f>INPUT!I33</f>
        <v>500</v>
      </c>
      <c r="D847" s="174">
        <f>INPUT!J33</f>
        <v>22</v>
      </c>
      <c r="E847" s="174">
        <f>INPUT!K33</f>
        <v>1936.3312351792665</v>
      </c>
      <c r="F847" s="174">
        <f>INPUT!L33</f>
        <v>12</v>
      </c>
      <c r="G847" s="174">
        <f>INPUT!M33</f>
        <v>120</v>
      </c>
      <c r="H847" s="174">
        <f>INPUT!S33</f>
        <v>0</v>
      </c>
      <c r="I847" s="174">
        <f>INPUT!R33</f>
        <v>290</v>
      </c>
      <c r="J847" s="174">
        <f>INPUT!U33</f>
        <v>2400</v>
      </c>
      <c r="K847" s="191">
        <f>INPUT!N33</f>
        <v>2800</v>
      </c>
      <c r="L847" s="175">
        <f>(J847+E847-2*G847)*(K847+D847/2+F847/2)/2</f>
        <v>5769682.5447499966</v>
      </c>
      <c r="M847" s="487">
        <f>(J847+E847-2*G847)*(K847+F847/2+H847+I847/2)/2</f>
        <v>6044136.737507008</v>
      </c>
      <c r="N847" s="4"/>
    </row>
    <row r="848">
      <c r="A848" s="187">
        <f>A602</f>
        <v>101</v>
      </c>
      <c r="B848" s="174">
        <f>INPUT!H34</f>
        <v>2</v>
      </c>
      <c r="C848" s="174">
        <f>INPUT!I34</f>
        <v>500</v>
      </c>
      <c r="D848" s="174">
        <f>INPUT!J34</f>
        <v>22</v>
      </c>
      <c r="E848" s="174">
        <f>INPUT!K34</f>
        <v>1936.3312351792665</v>
      </c>
      <c r="F848" s="174">
        <f>INPUT!L34</f>
        <v>12</v>
      </c>
      <c r="G848" s="174">
        <f>INPUT!M34</f>
        <v>120</v>
      </c>
      <c r="H848" s="174">
        <f>INPUT!S34</f>
        <v>0</v>
      </c>
      <c r="I848" s="174">
        <f>INPUT!R34</f>
        <v>290</v>
      </c>
      <c r="J848" s="174">
        <f>INPUT!U34</f>
        <v>2400</v>
      </c>
      <c r="K848" s="191">
        <f>INPUT!N34</f>
        <v>2800</v>
      </c>
      <c r="L848" s="175">
        <f>(J848+E848-2*G848)*(K848+D848/2+F848/2)/2</f>
        <v>5769682.5447499966</v>
      </c>
      <c r="M848" s="487">
        <f>(J848+E848-2*G848)*(K848+F848/2+H848+I848/2)/2</f>
        <v>6044136.737507008</v>
      </c>
      <c r="N848" s="4"/>
    </row>
    <row r="849">
      <c r="A849" s="187">
        <f>A603</f>
        <v>101</v>
      </c>
      <c r="B849" s="174">
        <f>INPUT!H35</f>
        <v>2</v>
      </c>
      <c r="C849" s="174">
        <f>INPUT!I35</f>
        <v>500</v>
      </c>
      <c r="D849" s="174">
        <f>INPUT!J35</f>
        <v>22</v>
      </c>
      <c r="E849" s="174">
        <f>INPUT!K35</f>
        <v>1936.3312351792665</v>
      </c>
      <c r="F849" s="174">
        <f>INPUT!L35</f>
        <v>12</v>
      </c>
      <c r="G849" s="174">
        <f>INPUT!M35</f>
        <v>120</v>
      </c>
      <c r="H849" s="174">
        <f>INPUT!S35</f>
        <v>0</v>
      </c>
      <c r="I849" s="174">
        <f>INPUT!R35</f>
        <v>290</v>
      </c>
      <c r="J849" s="174">
        <f>INPUT!U35</f>
        <v>2400</v>
      </c>
      <c r="K849" s="191">
        <f>INPUT!N35</f>
        <v>2800</v>
      </c>
      <c r="L849" s="175">
        <f>(J849+E849-2*G849)*(K849+D849/2+F849/2)/2</f>
        <v>5769682.5447499966</v>
      </c>
      <c r="M849" s="487">
        <f>(J849+E849-2*G849)*(K849+F849/2+H849+I849/2)/2</f>
        <v>6044136.737507008</v>
      </c>
      <c r="N849" s="4"/>
    </row>
    <row r="850">
      <c r="A850" s="187">
        <f>A604</f>
        <v>101</v>
      </c>
      <c r="B850" s="174">
        <f>INPUT!H36</f>
        <v>2</v>
      </c>
      <c r="C850" s="174">
        <f>INPUT!I36</f>
        <v>500</v>
      </c>
      <c r="D850" s="174">
        <f>INPUT!J36</f>
        <v>22</v>
      </c>
      <c r="E850" s="174">
        <f>INPUT!K36</f>
        <v>1936.3312351792665</v>
      </c>
      <c r="F850" s="174">
        <f>INPUT!L36</f>
        <v>12</v>
      </c>
      <c r="G850" s="174">
        <f>INPUT!M36</f>
        <v>120</v>
      </c>
      <c r="H850" s="174">
        <f>INPUT!S36</f>
        <v>0</v>
      </c>
      <c r="I850" s="174">
        <f>INPUT!R36</f>
        <v>290</v>
      </c>
      <c r="J850" s="174">
        <f>INPUT!U36</f>
        <v>2400</v>
      </c>
      <c r="K850" s="191">
        <f>INPUT!N36</f>
        <v>2800</v>
      </c>
      <c r="L850" s="175">
        <f>(J850+E850-2*G850)*(K850+D850/2+F850/2)/2</f>
        <v>5769682.5447499966</v>
      </c>
      <c r="M850" s="487">
        <f>(J850+E850-2*G850)*(K850+F850/2+H850+I850/2)/2</f>
        <v>6044136.737507008</v>
      </c>
      <c r="N850" s="4"/>
    </row>
    <row r="851">
      <c r="A851" s="187">
        <f>A605</f>
        <v>101</v>
      </c>
      <c r="B851" s="174">
        <f>INPUT!H37</f>
        <v>2</v>
      </c>
      <c r="C851" s="174">
        <f>INPUT!I37</f>
        <v>500</v>
      </c>
      <c r="D851" s="174">
        <f>INPUT!J37</f>
        <v>22</v>
      </c>
      <c r="E851" s="174">
        <f>INPUT!K37</f>
        <v>1936.3312351792665</v>
      </c>
      <c r="F851" s="174">
        <f>INPUT!L37</f>
        <v>12</v>
      </c>
      <c r="G851" s="174">
        <f>INPUT!M37</f>
        <v>120</v>
      </c>
      <c r="H851" s="174">
        <f>INPUT!S37</f>
        <v>0</v>
      </c>
      <c r="I851" s="174">
        <f>INPUT!R37</f>
        <v>290</v>
      </c>
      <c r="J851" s="174">
        <f>INPUT!U37</f>
        <v>2400</v>
      </c>
      <c r="K851" s="191">
        <f>INPUT!N37</f>
        <v>2800</v>
      </c>
      <c r="L851" s="175">
        <f>(J851+E851-2*G851)*(K851+D851/2+F851/2)/2</f>
        <v>5769682.5447499966</v>
      </c>
      <c r="M851" s="487">
        <f>(J851+E851-2*G851)*(K851+F851/2+H851+I851/2)/2</f>
        <v>6044136.737507008</v>
      </c>
      <c r="N851" s="4"/>
    </row>
    <row r="852">
      <c r="A852" s="187">
        <f>A606</f>
        <v>101</v>
      </c>
      <c r="B852" s="174">
        <f>INPUT!H38</f>
        <v>2</v>
      </c>
      <c r="C852" s="174">
        <f>INPUT!I38</f>
        <v>500</v>
      </c>
      <c r="D852" s="174">
        <f>INPUT!J38</f>
        <v>22</v>
      </c>
      <c r="E852" s="174">
        <f>INPUT!K38</f>
        <v>1936.3312351792665</v>
      </c>
      <c r="F852" s="174">
        <f>INPUT!L38</f>
        <v>12</v>
      </c>
      <c r="G852" s="174">
        <f>INPUT!M38</f>
        <v>120</v>
      </c>
      <c r="H852" s="174">
        <f>INPUT!S38</f>
        <v>0</v>
      </c>
      <c r="I852" s="174">
        <f>INPUT!R38</f>
        <v>290</v>
      </c>
      <c r="J852" s="174">
        <f>INPUT!U38</f>
        <v>2400</v>
      </c>
      <c r="K852" s="191">
        <f>INPUT!N38</f>
        <v>2800</v>
      </c>
      <c r="L852" s="175">
        <f>(J852+E852-2*G852)*(K852+D852/2+F852/2)/2</f>
        <v>5769682.5447499966</v>
      </c>
      <c r="M852" s="487">
        <f>(J852+E852-2*G852)*(K852+F852/2+H852+I852/2)/2</f>
        <v>6044136.737507008</v>
      </c>
      <c r="N852" s="4"/>
    </row>
    <row r="853">
      <c r="A853" s="187">
        <f>A607</f>
        <v>101</v>
      </c>
      <c r="B853" s="174">
        <f>INPUT!H39</f>
        <v>2</v>
      </c>
      <c r="C853" s="174">
        <f>INPUT!I39</f>
        <v>500</v>
      </c>
      <c r="D853" s="174">
        <f>INPUT!J39</f>
        <v>22</v>
      </c>
      <c r="E853" s="174">
        <f>INPUT!K39</f>
        <v>1936.3312351792665</v>
      </c>
      <c r="F853" s="174">
        <f>INPUT!L39</f>
        <v>12</v>
      </c>
      <c r="G853" s="174">
        <f>INPUT!M39</f>
        <v>120</v>
      </c>
      <c r="H853" s="174">
        <f>INPUT!S39</f>
        <v>0</v>
      </c>
      <c r="I853" s="174">
        <f>INPUT!R39</f>
        <v>290</v>
      </c>
      <c r="J853" s="174">
        <f>INPUT!U39</f>
        <v>2400</v>
      </c>
      <c r="K853" s="191">
        <f>INPUT!N39</f>
        <v>2800</v>
      </c>
      <c r="L853" s="175">
        <f>(J853+E853-2*G853)*(K853+D853/2+F853/2)/2</f>
        <v>5769682.5447499966</v>
      </c>
      <c r="M853" s="487">
        <f>(J853+E853-2*G853)*(K853+F853/2+H853+I853/2)/2</f>
        <v>6044136.737507008</v>
      </c>
      <c r="N853" s="4"/>
    </row>
    <row r="854">
      <c r="A854" s="187">
        <f>A608</f>
        <v>101</v>
      </c>
      <c r="B854" s="174">
        <f>INPUT!H40</f>
        <v>2</v>
      </c>
      <c r="C854" s="174">
        <f>INPUT!I40</f>
        <v>500</v>
      </c>
      <c r="D854" s="174">
        <f>INPUT!J40</f>
        <v>22</v>
      </c>
      <c r="E854" s="174">
        <f>INPUT!K40</f>
        <v>1936.3312351792665</v>
      </c>
      <c r="F854" s="174">
        <f>INPUT!L40</f>
        <v>12</v>
      </c>
      <c r="G854" s="174">
        <f>INPUT!M40</f>
        <v>120</v>
      </c>
      <c r="H854" s="174">
        <f>INPUT!S40</f>
        <v>0</v>
      </c>
      <c r="I854" s="174">
        <f>INPUT!R40</f>
        <v>290</v>
      </c>
      <c r="J854" s="174">
        <f>INPUT!U40</f>
        <v>2400</v>
      </c>
      <c r="K854" s="191">
        <f>INPUT!N40</f>
        <v>2800</v>
      </c>
      <c r="L854" s="175">
        <f>(J854+E854-2*G854)*(K854+D854/2+F854/2)/2</f>
        <v>5769682.5447499966</v>
      </c>
      <c r="M854" s="487">
        <f>(J854+E854-2*G854)*(K854+F854/2+H854+I854/2)/2</f>
        <v>6044136.737507008</v>
      </c>
      <c r="N854" s="4"/>
    </row>
    <row r="855">
      <c r="A855" s="187">
        <f>A609</f>
        <v>101</v>
      </c>
      <c r="B855" s="174">
        <f>INPUT!H41</f>
        <v>2</v>
      </c>
      <c r="C855" s="174">
        <f>INPUT!I41</f>
        <v>500</v>
      </c>
      <c r="D855" s="174">
        <f>INPUT!J41</f>
        <v>22</v>
      </c>
      <c r="E855" s="174">
        <f>INPUT!K41</f>
        <v>1936.3312351792665</v>
      </c>
      <c r="F855" s="174">
        <f>INPUT!L41</f>
        <v>12</v>
      </c>
      <c r="G855" s="174">
        <f>INPUT!M41</f>
        <v>120</v>
      </c>
      <c r="H855" s="174">
        <f>INPUT!S41</f>
        <v>0</v>
      </c>
      <c r="I855" s="174">
        <f>INPUT!R41</f>
        <v>290</v>
      </c>
      <c r="J855" s="174">
        <f>INPUT!U41</f>
        <v>2400</v>
      </c>
      <c r="K855" s="191">
        <f>INPUT!N41</f>
        <v>2800</v>
      </c>
      <c r="L855" s="175">
        <f>(J855+E855-2*G855)*(K855+D855/2+F855/2)/2</f>
        <v>5769682.5447499966</v>
      </c>
      <c r="M855" s="487">
        <f>(J855+E855-2*G855)*(K855+F855/2+H855+I855/2)/2</f>
        <v>6044136.737507008</v>
      </c>
      <c r="N855" s="4"/>
    </row>
    <row r="856">
      <c r="A856" s="187">
        <f>A610</f>
        <v>101</v>
      </c>
      <c r="B856" s="174">
        <f>INPUT!H42</f>
        <v>2</v>
      </c>
      <c r="C856" s="174">
        <f>INPUT!I42</f>
        <v>500</v>
      </c>
      <c r="D856" s="174">
        <f>INPUT!J42</f>
        <v>22</v>
      </c>
      <c r="E856" s="174">
        <f>INPUT!K42</f>
        <v>1936.3312351792665</v>
      </c>
      <c r="F856" s="174">
        <f>INPUT!L42</f>
        <v>12</v>
      </c>
      <c r="G856" s="174">
        <f>INPUT!M42</f>
        <v>120</v>
      </c>
      <c r="H856" s="174">
        <f>INPUT!S42</f>
        <v>0</v>
      </c>
      <c r="I856" s="174">
        <f>INPUT!R42</f>
        <v>290</v>
      </c>
      <c r="J856" s="174">
        <f>INPUT!U42</f>
        <v>2400</v>
      </c>
      <c r="K856" s="191">
        <f>INPUT!N42</f>
        <v>2800</v>
      </c>
      <c r="L856" s="175">
        <f>(J856+E856-2*G856)*(K856+D856/2+F856/2)/2</f>
        <v>5769682.5447499966</v>
      </c>
      <c r="M856" s="487">
        <f>(J856+E856-2*G856)*(K856+F856/2+H856+I856/2)/2</f>
        <v>6044136.737507008</v>
      </c>
      <c r="N856" s="4"/>
    </row>
    <row r="857">
      <c r="A857" s="187">
        <f>A611</f>
        <v>101</v>
      </c>
      <c r="B857" s="174">
        <f>INPUT!H43</f>
        <v>2</v>
      </c>
      <c r="C857" s="174">
        <f>INPUT!I43</f>
        <v>500</v>
      </c>
      <c r="D857" s="174">
        <f>INPUT!J43</f>
        <v>22</v>
      </c>
      <c r="E857" s="174">
        <f>INPUT!K43</f>
        <v>1936.3312351792665</v>
      </c>
      <c r="F857" s="174">
        <f>INPUT!L43</f>
        <v>12</v>
      </c>
      <c r="G857" s="174">
        <f>INPUT!M43</f>
        <v>120</v>
      </c>
      <c r="H857" s="174">
        <f>INPUT!S43</f>
        <v>0</v>
      </c>
      <c r="I857" s="174">
        <f>INPUT!R43</f>
        <v>290</v>
      </c>
      <c r="J857" s="174">
        <f>INPUT!U43</f>
        <v>2400</v>
      </c>
      <c r="K857" s="191">
        <f>INPUT!N43</f>
        <v>2800</v>
      </c>
      <c r="L857" s="175">
        <f>(J857+E857-2*G857)*(K857+D857/2+F857/2)/2</f>
        <v>5769682.5447499966</v>
      </c>
      <c r="M857" s="487">
        <f>(J857+E857-2*G857)*(K857+F857/2+H857+I857/2)/2</f>
        <v>6044136.737507008</v>
      </c>
      <c r="N857" s="4"/>
    </row>
    <row r="858">
      <c r="A858" s="187">
        <f>A612</f>
        <v>101</v>
      </c>
      <c r="B858" s="174">
        <f>INPUT!H44</f>
        <v>2</v>
      </c>
      <c r="C858" s="174">
        <f>INPUT!I44</f>
        <v>500</v>
      </c>
      <c r="D858" s="174">
        <f>INPUT!J44</f>
        <v>22</v>
      </c>
      <c r="E858" s="174">
        <f>INPUT!K44</f>
        <v>1936.3312351792665</v>
      </c>
      <c r="F858" s="174">
        <f>INPUT!L44</f>
        <v>12</v>
      </c>
      <c r="G858" s="174">
        <f>INPUT!M44</f>
        <v>120</v>
      </c>
      <c r="H858" s="174">
        <f>INPUT!S44</f>
        <v>0</v>
      </c>
      <c r="I858" s="174">
        <f>INPUT!R44</f>
        <v>290</v>
      </c>
      <c r="J858" s="174">
        <f>INPUT!U44</f>
        <v>2400</v>
      </c>
      <c r="K858" s="191">
        <f>INPUT!N44</f>
        <v>2800</v>
      </c>
      <c r="L858" s="175">
        <f>(J858+E858-2*G858)*(K858+D858/2+F858/2)/2</f>
        <v>5769682.5447499966</v>
      </c>
      <c r="M858" s="487">
        <f>(J858+E858-2*G858)*(K858+F858/2+H858+I858/2)/2</f>
        <v>6044136.737507008</v>
      </c>
      <c r="N858" s="4"/>
    </row>
    <row r="859">
      <c r="A859" s="187">
        <f>A613</f>
        <v>101</v>
      </c>
      <c r="B859" s="174">
        <f>INPUT!H45</f>
        <v>2</v>
      </c>
      <c r="C859" s="174">
        <f>INPUT!I45</f>
        <v>500</v>
      </c>
      <c r="D859" s="174">
        <f>INPUT!J45</f>
        <v>22</v>
      </c>
      <c r="E859" s="174">
        <f>INPUT!K45</f>
        <v>1936.3312351792665</v>
      </c>
      <c r="F859" s="174">
        <f>INPUT!L45</f>
        <v>12</v>
      </c>
      <c r="G859" s="174">
        <f>INPUT!M45</f>
        <v>120</v>
      </c>
      <c r="H859" s="174">
        <f>INPUT!S45</f>
        <v>0</v>
      </c>
      <c r="I859" s="174">
        <f>INPUT!R45</f>
        <v>290</v>
      </c>
      <c r="J859" s="174">
        <f>INPUT!U45</f>
        <v>2400</v>
      </c>
      <c r="K859" s="191">
        <f>INPUT!N45</f>
        <v>2800</v>
      </c>
      <c r="L859" s="175">
        <f>(J859+E859-2*G859)*(K859+D859/2+F859/2)/2</f>
        <v>5769682.5447499966</v>
      </c>
      <c r="M859" s="487">
        <f>(J859+E859-2*G859)*(K859+F859/2+H859+I859/2)/2</f>
        <v>6044136.737507008</v>
      </c>
      <c r="N859" s="4"/>
    </row>
    <row r="860">
      <c r="A860" s="187">
        <f>A614</f>
        <v>101</v>
      </c>
      <c r="B860" s="174">
        <f>INPUT!H46</f>
        <v>2</v>
      </c>
      <c r="C860" s="174">
        <f>INPUT!I46</f>
        <v>500</v>
      </c>
      <c r="D860" s="174">
        <f>INPUT!J46</f>
        <v>22</v>
      </c>
      <c r="E860" s="174">
        <f>INPUT!K46</f>
        <v>1936.3312351792665</v>
      </c>
      <c r="F860" s="174">
        <f>INPUT!L46</f>
        <v>12</v>
      </c>
      <c r="G860" s="174">
        <f>INPUT!M46</f>
        <v>120</v>
      </c>
      <c r="H860" s="174">
        <f>INPUT!S46</f>
        <v>0</v>
      </c>
      <c r="I860" s="174">
        <f>INPUT!R46</f>
        <v>290</v>
      </c>
      <c r="J860" s="174">
        <f>INPUT!U46</f>
        <v>2400</v>
      </c>
      <c r="K860" s="191">
        <f>INPUT!N46</f>
        <v>2800</v>
      </c>
      <c r="L860" s="175">
        <f>(J860+E860-2*G860)*(K860+D860/2+F860/2)/2</f>
        <v>5769682.5447499966</v>
      </c>
      <c r="M860" s="487">
        <f>(J860+E860-2*G860)*(K860+F860/2+H860+I860/2)/2</f>
        <v>6044136.737507008</v>
      </c>
      <c r="N860" s="4"/>
    </row>
    <row r="861">
      <c r="A861" s="187">
        <f>A615</f>
        <v>101</v>
      </c>
      <c r="B861" s="174">
        <f>INPUT!H47</f>
        <v>2</v>
      </c>
      <c r="C861" s="174">
        <f>INPUT!I47</f>
        <v>500</v>
      </c>
      <c r="D861" s="174">
        <f>INPUT!J47</f>
        <v>22</v>
      </c>
      <c r="E861" s="174">
        <f>INPUT!K47</f>
        <v>1936.3312351792665</v>
      </c>
      <c r="F861" s="174">
        <f>INPUT!L47</f>
        <v>12</v>
      </c>
      <c r="G861" s="174">
        <f>INPUT!M47</f>
        <v>120</v>
      </c>
      <c r="H861" s="174">
        <f>INPUT!S47</f>
        <v>0</v>
      </c>
      <c r="I861" s="174">
        <f>INPUT!R47</f>
        <v>290</v>
      </c>
      <c r="J861" s="174">
        <f>INPUT!U47</f>
        <v>2400</v>
      </c>
      <c r="K861" s="191">
        <f>INPUT!N47</f>
        <v>2800</v>
      </c>
      <c r="L861" s="175">
        <f>(J861+E861-2*G861)*(K861+D861/2+F861/2)/2</f>
        <v>5769682.5447499966</v>
      </c>
      <c r="M861" s="487">
        <f>(J861+E861-2*G861)*(K861+F861/2+H861+I861/2)/2</f>
        <v>6044136.737507008</v>
      </c>
      <c r="N861" s="4"/>
    </row>
    <row r="862">
      <c r="A862" s="187">
        <f>A616</f>
        <v>101</v>
      </c>
      <c r="B862" s="174">
        <f>INPUT!H48</f>
        <v>2</v>
      </c>
      <c r="C862" s="174">
        <f>INPUT!I48</f>
        <v>500</v>
      </c>
      <c r="D862" s="174">
        <f>INPUT!J48</f>
        <v>22</v>
      </c>
      <c r="E862" s="174">
        <f>INPUT!K48</f>
        <v>1936.3312351792665</v>
      </c>
      <c r="F862" s="174">
        <f>INPUT!L48</f>
        <v>12</v>
      </c>
      <c r="G862" s="174">
        <f>INPUT!M48</f>
        <v>120</v>
      </c>
      <c r="H862" s="174">
        <f>INPUT!S48</f>
        <v>0</v>
      </c>
      <c r="I862" s="174">
        <f>INPUT!R48</f>
        <v>290</v>
      </c>
      <c r="J862" s="174">
        <f>INPUT!U48</f>
        <v>2400</v>
      </c>
      <c r="K862" s="191">
        <f>INPUT!N48</f>
        <v>2800</v>
      </c>
      <c r="L862" s="175">
        <f>(J862+E862-2*G862)*(K862+D862/2+F862/2)/2</f>
        <v>5769682.5447499966</v>
      </c>
      <c r="M862" s="487">
        <f>(J862+E862-2*G862)*(K862+F862/2+H862+I862/2)/2</f>
        <v>6044136.737507008</v>
      </c>
      <c r="N862" s="4"/>
    </row>
    <row r="863">
      <c r="A863" s="187">
        <f>A617</f>
        <v>101</v>
      </c>
      <c r="B863" s="174">
        <f>INPUT!H49</f>
        <v>2</v>
      </c>
      <c r="C863" s="174">
        <f>INPUT!I49</f>
        <v>500</v>
      </c>
      <c r="D863" s="174">
        <f>INPUT!J49</f>
        <v>22</v>
      </c>
      <c r="E863" s="174">
        <f>INPUT!K49</f>
        <v>1936.3312351792665</v>
      </c>
      <c r="F863" s="174">
        <f>INPUT!L49</f>
        <v>12</v>
      </c>
      <c r="G863" s="174">
        <f>INPUT!M49</f>
        <v>120</v>
      </c>
      <c r="H863" s="174">
        <f>INPUT!S49</f>
        <v>0</v>
      </c>
      <c r="I863" s="174">
        <f>INPUT!R49</f>
        <v>290</v>
      </c>
      <c r="J863" s="174">
        <f>INPUT!U49</f>
        <v>2400</v>
      </c>
      <c r="K863" s="191">
        <f>INPUT!N49</f>
        <v>2800</v>
      </c>
      <c r="L863" s="175">
        <f>(J863+E863-2*G863)*(K863+D863/2+F863/2)/2</f>
        <v>5769682.5447499966</v>
      </c>
      <c r="M863" s="487">
        <f>(J863+E863-2*G863)*(K863+F863/2+H863+I863/2)/2</f>
        <v>6044136.737507008</v>
      </c>
      <c r="N863" s="4"/>
    </row>
    <row r="864">
      <c r="A864" s="187">
        <f>A618</f>
        <v>101</v>
      </c>
      <c r="B864" s="174">
        <f>INPUT!H50</f>
        <v>2</v>
      </c>
      <c r="C864" s="174">
        <f>INPUT!I50</f>
        <v>500</v>
      </c>
      <c r="D864" s="174">
        <f>INPUT!J50</f>
        <v>22</v>
      </c>
      <c r="E864" s="174">
        <f>INPUT!K50</f>
        <v>1936.3312351792665</v>
      </c>
      <c r="F864" s="174">
        <f>INPUT!L50</f>
        <v>12</v>
      </c>
      <c r="G864" s="174">
        <f>INPUT!M50</f>
        <v>120</v>
      </c>
      <c r="H864" s="174">
        <f>INPUT!S50</f>
        <v>0</v>
      </c>
      <c r="I864" s="174">
        <f>INPUT!R50</f>
        <v>290</v>
      </c>
      <c r="J864" s="174">
        <f>INPUT!U50</f>
        <v>2400</v>
      </c>
      <c r="K864" s="191">
        <f>INPUT!N50</f>
        <v>2800</v>
      </c>
      <c r="L864" s="175">
        <f>(J864+E864-2*G864)*(K864+D864/2+F864/2)/2</f>
        <v>5769682.5447499966</v>
      </c>
      <c r="M864" s="487">
        <f>(J864+E864-2*G864)*(K864+F864/2+H864+I864/2)/2</f>
        <v>6044136.737507008</v>
      </c>
      <c r="N864" s="4"/>
    </row>
    <row r="865">
      <c r="A865" s="187">
        <f>A619</f>
        <v>101</v>
      </c>
      <c r="B865" s="174">
        <f>INPUT!H51</f>
        <v>2</v>
      </c>
      <c r="C865" s="174">
        <f>INPUT!I51</f>
        <v>500</v>
      </c>
      <c r="D865" s="174">
        <f>INPUT!J51</f>
        <v>22</v>
      </c>
      <c r="E865" s="174">
        <f>INPUT!K51</f>
        <v>1936.3312351792665</v>
      </c>
      <c r="F865" s="174">
        <f>INPUT!L51</f>
        <v>12</v>
      </c>
      <c r="G865" s="174">
        <f>INPUT!M51</f>
        <v>120</v>
      </c>
      <c r="H865" s="174">
        <f>INPUT!S51</f>
        <v>0</v>
      </c>
      <c r="I865" s="174">
        <f>INPUT!R51</f>
        <v>290</v>
      </c>
      <c r="J865" s="174">
        <f>INPUT!U51</f>
        <v>2400</v>
      </c>
      <c r="K865" s="191">
        <f>INPUT!N51</f>
        <v>2800</v>
      </c>
      <c r="L865" s="175">
        <f>(J865+E865-2*G865)*(K865+D865/2+F865/2)/2</f>
        <v>5769682.5447499966</v>
      </c>
      <c r="M865" s="487">
        <f>(J865+E865-2*G865)*(K865+F865/2+H865+I865/2)/2</f>
        <v>6044136.737507008</v>
      </c>
      <c r="N865" s="4"/>
    </row>
    <row r="866">
      <c r="A866" s="187">
        <f>A620</f>
        <v>101</v>
      </c>
      <c r="B866" s="174">
        <f>INPUT!H52</f>
        <v>2</v>
      </c>
      <c r="C866" s="174">
        <f>INPUT!I52</f>
        <v>500</v>
      </c>
      <c r="D866" s="174">
        <f>INPUT!J52</f>
        <v>22</v>
      </c>
      <c r="E866" s="174">
        <f>INPUT!K52</f>
        <v>1936.3312351792665</v>
      </c>
      <c r="F866" s="174">
        <f>INPUT!L52</f>
        <v>12</v>
      </c>
      <c r="G866" s="174">
        <f>INPUT!M52</f>
        <v>120</v>
      </c>
      <c r="H866" s="174">
        <f>INPUT!S52</f>
        <v>0</v>
      </c>
      <c r="I866" s="174">
        <f>INPUT!R52</f>
        <v>290</v>
      </c>
      <c r="J866" s="174">
        <f>INPUT!U52</f>
        <v>2400</v>
      </c>
      <c r="K866" s="191">
        <f>INPUT!N52</f>
        <v>2800</v>
      </c>
      <c r="L866" s="175">
        <f>(J866+E866-2*G866)*(K866+D866/2+F866/2)/2</f>
        <v>5769682.5447499966</v>
      </c>
      <c r="M866" s="487">
        <f>(J866+E866-2*G866)*(K866+F866/2+H866+I866/2)/2</f>
        <v>6044136.737507008</v>
      </c>
      <c r="N866" s="4"/>
    </row>
    <row r="867">
      <c r="A867" s="187">
        <f>A621</f>
        <v>101</v>
      </c>
      <c r="B867" s="174">
        <f>INPUT!H53</f>
        <v>2</v>
      </c>
      <c r="C867" s="174">
        <f>INPUT!I53</f>
        <v>500</v>
      </c>
      <c r="D867" s="174">
        <f>INPUT!J53</f>
        <v>22</v>
      </c>
      <c r="E867" s="174">
        <f>INPUT!K53</f>
        <v>1936.3312351792665</v>
      </c>
      <c r="F867" s="174">
        <f>INPUT!L53</f>
        <v>12</v>
      </c>
      <c r="G867" s="174">
        <f>INPUT!M53</f>
        <v>120</v>
      </c>
      <c r="H867" s="174">
        <f>INPUT!S53</f>
        <v>0</v>
      </c>
      <c r="I867" s="174">
        <f>INPUT!R53</f>
        <v>290</v>
      </c>
      <c r="J867" s="174">
        <f>INPUT!U53</f>
        <v>2400</v>
      </c>
      <c r="K867" s="191">
        <f>INPUT!N53</f>
        <v>2800</v>
      </c>
      <c r="L867" s="175">
        <f>(J867+E867-2*G867)*(K867+D867/2+F867/2)/2</f>
        <v>5769682.5447499966</v>
      </c>
      <c r="M867" s="487">
        <f>(J867+E867-2*G867)*(K867+F867/2+H867+I867/2)/2</f>
        <v>6044136.737507008</v>
      </c>
      <c r="N867" s="4"/>
    </row>
    <row r="868">
      <c r="A868" s="187">
        <f>A622</f>
        <v>101</v>
      </c>
      <c r="B868" s="174">
        <f>INPUT!H54</f>
        <v>2</v>
      </c>
      <c r="C868" s="174">
        <f>INPUT!I54</f>
        <v>500</v>
      </c>
      <c r="D868" s="174">
        <f>INPUT!J54</f>
        <v>22</v>
      </c>
      <c r="E868" s="174">
        <f>INPUT!K54</f>
        <v>1936.3312351792665</v>
      </c>
      <c r="F868" s="174">
        <f>INPUT!L54</f>
        <v>12</v>
      </c>
      <c r="G868" s="174">
        <f>INPUT!M54</f>
        <v>120</v>
      </c>
      <c r="H868" s="174">
        <f>INPUT!S54</f>
        <v>0</v>
      </c>
      <c r="I868" s="174">
        <f>INPUT!R54</f>
        <v>290</v>
      </c>
      <c r="J868" s="174">
        <f>INPUT!U54</f>
        <v>2400</v>
      </c>
      <c r="K868" s="191">
        <f>INPUT!N54</f>
        <v>2800</v>
      </c>
      <c r="L868" s="175">
        <f>(J868+E868-2*G868)*(K868+D868/2+F868/2)/2</f>
        <v>5769682.5447499966</v>
      </c>
      <c r="M868" s="487">
        <f>(J868+E868-2*G868)*(K868+F868/2+H868+I868/2)/2</f>
        <v>6044136.737507008</v>
      </c>
      <c r="N868" s="4"/>
    </row>
    <row r="869">
      <c r="A869" s="187">
        <f>A623</f>
        <v>101</v>
      </c>
      <c r="B869" s="174">
        <f>INPUT!H55</f>
        <v>2</v>
      </c>
      <c r="C869" s="174">
        <f>INPUT!I55</f>
        <v>500</v>
      </c>
      <c r="D869" s="174">
        <f>INPUT!J55</f>
        <v>22</v>
      </c>
      <c r="E869" s="174">
        <f>INPUT!K55</f>
        <v>1936.3312351792665</v>
      </c>
      <c r="F869" s="174">
        <f>INPUT!L55</f>
        <v>12</v>
      </c>
      <c r="G869" s="174">
        <f>INPUT!M55</f>
        <v>120</v>
      </c>
      <c r="H869" s="174">
        <f>INPUT!S55</f>
        <v>0</v>
      </c>
      <c r="I869" s="174">
        <f>INPUT!R55</f>
        <v>290</v>
      </c>
      <c r="J869" s="174">
        <f>INPUT!U55</f>
        <v>2400</v>
      </c>
      <c r="K869" s="191">
        <f>INPUT!N55</f>
        <v>2800</v>
      </c>
      <c r="L869" s="175">
        <f>(J869+E869-2*G869)*(K869+D869/2+F869/2)/2</f>
        <v>5769682.5447499966</v>
      </c>
      <c r="M869" s="487">
        <f>(J869+E869-2*G869)*(K869+F869/2+H869+I869/2)/2</f>
        <v>6044136.737507008</v>
      </c>
      <c r="N869" s="4"/>
    </row>
    <row r="870">
      <c r="A870" s="187">
        <f>A624</f>
        <v>101</v>
      </c>
      <c r="B870" s="174">
        <f>INPUT!H56</f>
        <v>2</v>
      </c>
      <c r="C870" s="174">
        <f>INPUT!I56</f>
        <v>500</v>
      </c>
      <c r="D870" s="174">
        <f>INPUT!J56</f>
        <v>22</v>
      </c>
      <c r="E870" s="174">
        <f>INPUT!K56</f>
        <v>1936.3312351792665</v>
      </c>
      <c r="F870" s="174">
        <f>INPUT!L56</f>
        <v>12</v>
      </c>
      <c r="G870" s="174">
        <f>INPUT!M56</f>
        <v>120</v>
      </c>
      <c r="H870" s="174">
        <f>INPUT!S56</f>
        <v>0</v>
      </c>
      <c r="I870" s="174">
        <f>INPUT!R56</f>
        <v>290</v>
      </c>
      <c r="J870" s="174">
        <f>INPUT!U56</f>
        <v>2400</v>
      </c>
      <c r="K870" s="191">
        <f>INPUT!N56</f>
        <v>2800</v>
      </c>
      <c r="L870" s="175">
        <f>(J870+E870-2*G870)*(K870+D870/2+F870/2)/2</f>
        <v>5769682.5447499966</v>
      </c>
      <c r="M870" s="487">
        <f>(J870+E870-2*G870)*(K870+F870/2+H870+I870/2)/2</f>
        <v>6044136.737507008</v>
      </c>
      <c r="N870" s="4"/>
    </row>
    <row r="871">
      <c r="A871" s="187">
        <f>A625</f>
        <v>101</v>
      </c>
      <c r="B871" s="174">
        <f>INPUT!H57</f>
        <v>2</v>
      </c>
      <c r="C871" s="174">
        <f>INPUT!I57</f>
        <v>500</v>
      </c>
      <c r="D871" s="174">
        <f>INPUT!J57</f>
        <v>22</v>
      </c>
      <c r="E871" s="174">
        <f>INPUT!K57</f>
        <v>1936.3312351792665</v>
      </c>
      <c r="F871" s="174">
        <f>INPUT!L57</f>
        <v>12</v>
      </c>
      <c r="G871" s="174">
        <f>INPUT!M57</f>
        <v>120</v>
      </c>
      <c r="H871" s="174">
        <f>INPUT!S57</f>
        <v>0</v>
      </c>
      <c r="I871" s="174">
        <f>INPUT!R57</f>
        <v>290</v>
      </c>
      <c r="J871" s="174">
        <f>INPUT!U57</f>
        <v>2400</v>
      </c>
      <c r="K871" s="191">
        <f>INPUT!N57</f>
        <v>2800</v>
      </c>
      <c r="L871" s="175">
        <f>(J871+E871-2*G871)*(K871+D871/2+F871/2)/2</f>
        <v>5769682.5447499966</v>
      </c>
      <c r="M871" s="487">
        <f>(J871+E871-2*G871)*(K871+F871/2+H871+I871/2)/2</f>
        <v>6044136.737507008</v>
      </c>
      <c r="N871" s="4"/>
    </row>
    <row r="872">
      <c r="A872" s="187">
        <f>A626</f>
        <v>101</v>
      </c>
      <c r="B872" s="174">
        <f>INPUT!H58</f>
        <v>2</v>
      </c>
      <c r="C872" s="174">
        <f>INPUT!I58</f>
        <v>500</v>
      </c>
      <c r="D872" s="174">
        <f>INPUT!J58</f>
        <v>22</v>
      </c>
      <c r="E872" s="174">
        <f>INPUT!K58</f>
        <v>1936.3312351792665</v>
      </c>
      <c r="F872" s="174">
        <f>INPUT!L58</f>
        <v>12</v>
      </c>
      <c r="G872" s="174">
        <f>INPUT!M58</f>
        <v>120</v>
      </c>
      <c r="H872" s="174">
        <f>INPUT!S58</f>
        <v>0</v>
      </c>
      <c r="I872" s="174">
        <f>INPUT!R58</f>
        <v>290</v>
      </c>
      <c r="J872" s="174">
        <f>INPUT!U58</f>
        <v>2400</v>
      </c>
      <c r="K872" s="191">
        <f>INPUT!N58</f>
        <v>2800</v>
      </c>
      <c r="L872" s="175">
        <f>(J872+E872-2*G872)*(K872+D872/2+F872/2)/2</f>
        <v>5769682.5447499966</v>
      </c>
      <c r="M872" s="487">
        <f>(J872+E872-2*G872)*(K872+F872/2+H872+I872/2)/2</f>
        <v>6044136.737507008</v>
      </c>
      <c r="N872" s="4"/>
    </row>
    <row r="873">
      <c r="A873" s="187">
        <f>A627</f>
        <v>101</v>
      </c>
      <c r="B873" s="174">
        <f>INPUT!H59</f>
        <v>2</v>
      </c>
      <c r="C873" s="174">
        <f>INPUT!I59</f>
        <v>500</v>
      </c>
      <c r="D873" s="174">
        <f>INPUT!J59</f>
        <v>22</v>
      </c>
      <c r="E873" s="174">
        <f>INPUT!K59</f>
        <v>1936.3312351792665</v>
      </c>
      <c r="F873" s="174">
        <f>INPUT!L59</f>
        <v>12</v>
      </c>
      <c r="G873" s="174">
        <f>INPUT!M59</f>
        <v>120</v>
      </c>
      <c r="H873" s="174">
        <f>INPUT!S59</f>
        <v>0</v>
      </c>
      <c r="I873" s="174">
        <f>INPUT!R59</f>
        <v>290</v>
      </c>
      <c r="J873" s="174">
        <f>INPUT!U59</f>
        <v>2400</v>
      </c>
      <c r="K873" s="191">
        <f>INPUT!N59</f>
        <v>2800</v>
      </c>
      <c r="L873" s="175">
        <f>(J873+E873-2*G873)*(K873+D873/2+F873/2)/2</f>
        <v>5769682.5447499966</v>
      </c>
      <c r="M873" s="487">
        <f>(J873+E873-2*G873)*(K873+F873/2+H873+I873/2)/2</f>
        <v>6044136.737507008</v>
      </c>
      <c r="N873" s="4"/>
    </row>
    <row r="874">
      <c r="A874" s="187">
        <f>A628</f>
        <v>101</v>
      </c>
      <c r="B874" s="174">
        <f>INPUT!H60</f>
        <v>2</v>
      </c>
      <c r="C874" s="174">
        <f>INPUT!I60</f>
        <v>500</v>
      </c>
      <c r="D874" s="174">
        <f>INPUT!J60</f>
        <v>22</v>
      </c>
      <c r="E874" s="174">
        <f>INPUT!K60</f>
        <v>1936.3312351792665</v>
      </c>
      <c r="F874" s="174">
        <f>INPUT!L60</f>
        <v>12</v>
      </c>
      <c r="G874" s="174">
        <f>INPUT!M60</f>
        <v>120</v>
      </c>
      <c r="H874" s="174">
        <f>INPUT!S60</f>
        <v>0</v>
      </c>
      <c r="I874" s="174">
        <f>INPUT!R60</f>
        <v>290</v>
      </c>
      <c r="J874" s="174">
        <f>INPUT!U60</f>
        <v>2400</v>
      </c>
      <c r="K874" s="191">
        <f>INPUT!N60</f>
        <v>2800</v>
      </c>
      <c r="L874" s="175">
        <f>(J874+E874-2*G874)*(K874+D874/2+F874/2)/2</f>
        <v>5769682.5447499966</v>
      </c>
      <c r="M874" s="487">
        <f>(J874+E874-2*G874)*(K874+F874/2+H874+I874/2)/2</f>
        <v>6044136.737507008</v>
      </c>
      <c r="N874" s="4"/>
    </row>
    <row r="875">
      <c r="A875" s="187">
        <f>A629</f>
        <v>101</v>
      </c>
      <c r="B875" s="174">
        <f>INPUT!H61</f>
        <v>2</v>
      </c>
      <c r="C875" s="174">
        <f>INPUT!I61</f>
        <v>500</v>
      </c>
      <c r="D875" s="174">
        <f>INPUT!J61</f>
        <v>22</v>
      </c>
      <c r="E875" s="174">
        <f>INPUT!K61</f>
        <v>1936.3312351792665</v>
      </c>
      <c r="F875" s="174">
        <f>INPUT!L61</f>
        <v>12</v>
      </c>
      <c r="G875" s="174">
        <f>INPUT!M61</f>
        <v>120</v>
      </c>
      <c r="H875" s="174">
        <f>INPUT!S61</f>
        <v>0</v>
      </c>
      <c r="I875" s="174">
        <f>INPUT!R61</f>
        <v>290</v>
      </c>
      <c r="J875" s="174">
        <f>INPUT!U61</f>
        <v>2400</v>
      </c>
      <c r="K875" s="191">
        <f>INPUT!N61</f>
        <v>2800</v>
      </c>
      <c r="L875" s="175">
        <f>(J875+E875-2*G875)*(K875+D875/2+F875/2)/2</f>
        <v>5769682.5447499966</v>
      </c>
      <c r="M875" s="487">
        <f>(J875+E875-2*G875)*(K875+F875/2+H875+I875/2)/2</f>
        <v>6044136.737507008</v>
      </c>
      <c r="N875" s="4"/>
    </row>
    <row r="876">
      <c r="A876" s="187">
        <f>A630</f>
        <v>101</v>
      </c>
      <c r="B876" s="174">
        <f>INPUT!H62</f>
        <v>2</v>
      </c>
      <c r="C876" s="174">
        <f>INPUT!I62</f>
        <v>500</v>
      </c>
      <c r="D876" s="174">
        <f>INPUT!J62</f>
        <v>22</v>
      </c>
      <c r="E876" s="174">
        <f>INPUT!K62</f>
        <v>1936.3312351792665</v>
      </c>
      <c r="F876" s="174">
        <f>INPUT!L62</f>
        <v>12</v>
      </c>
      <c r="G876" s="174">
        <f>INPUT!M62</f>
        <v>120</v>
      </c>
      <c r="H876" s="174">
        <f>INPUT!S62</f>
        <v>0</v>
      </c>
      <c r="I876" s="174">
        <f>INPUT!R62</f>
        <v>290</v>
      </c>
      <c r="J876" s="174">
        <f>INPUT!U62</f>
        <v>2400</v>
      </c>
      <c r="K876" s="191">
        <f>INPUT!N62</f>
        <v>2800</v>
      </c>
      <c r="L876" s="175">
        <f>(J876+E876-2*G876)*(K876+D876/2+F876/2)/2</f>
        <v>5769682.5447499966</v>
      </c>
      <c r="M876" s="487">
        <f>(J876+E876-2*G876)*(K876+F876/2+H876+I876/2)/2</f>
        <v>6044136.737507008</v>
      </c>
      <c r="N876" s="4"/>
    </row>
    <row r="877">
      <c r="A877" s="187">
        <f>A631</f>
        <v>101</v>
      </c>
      <c r="B877" s="174">
        <f>INPUT!H63</f>
        <v>2</v>
      </c>
      <c r="C877" s="174">
        <f>INPUT!I63</f>
        <v>500</v>
      </c>
      <c r="D877" s="174">
        <f>INPUT!J63</f>
        <v>22</v>
      </c>
      <c r="E877" s="174">
        <f>INPUT!K63</f>
        <v>1936.3312351792665</v>
      </c>
      <c r="F877" s="174">
        <f>INPUT!L63</f>
        <v>12</v>
      </c>
      <c r="G877" s="174">
        <f>INPUT!M63</f>
        <v>120</v>
      </c>
      <c r="H877" s="174">
        <f>INPUT!S63</f>
        <v>0</v>
      </c>
      <c r="I877" s="174">
        <f>INPUT!R63</f>
        <v>290</v>
      </c>
      <c r="J877" s="174">
        <f>INPUT!U63</f>
        <v>2400</v>
      </c>
      <c r="K877" s="191">
        <f>INPUT!N63</f>
        <v>2800</v>
      </c>
      <c r="L877" s="175">
        <f>(J877+E877-2*G877)*(K877+D877/2+F877/2)/2</f>
        <v>5769682.5447499966</v>
      </c>
      <c r="M877" s="487">
        <f>(J877+E877-2*G877)*(K877+F877/2+H877+I877/2)/2</f>
        <v>6044136.737507008</v>
      </c>
      <c r="N877" s="4"/>
    </row>
    <row r="878">
      <c r="A878" s="187">
        <f>A632</f>
        <v>101</v>
      </c>
      <c r="B878" s="174">
        <f>INPUT!H64</f>
        <v>2</v>
      </c>
      <c r="C878" s="174">
        <f>INPUT!I64</f>
        <v>500</v>
      </c>
      <c r="D878" s="174">
        <f>INPUT!J64</f>
        <v>22</v>
      </c>
      <c r="E878" s="174">
        <f>INPUT!K64</f>
        <v>1936.3312351792665</v>
      </c>
      <c r="F878" s="174">
        <f>INPUT!L64</f>
        <v>12</v>
      </c>
      <c r="G878" s="174">
        <f>INPUT!M64</f>
        <v>120</v>
      </c>
      <c r="H878" s="174">
        <f>INPUT!S64</f>
        <v>0</v>
      </c>
      <c r="I878" s="174">
        <f>INPUT!R64</f>
        <v>290</v>
      </c>
      <c r="J878" s="174">
        <f>INPUT!U64</f>
        <v>2400</v>
      </c>
      <c r="K878" s="191">
        <f>INPUT!N64</f>
        <v>2800</v>
      </c>
      <c r="L878" s="175">
        <f>(J878+E878-2*G878)*(K878+D878/2+F878/2)/2</f>
        <v>5769682.5447499966</v>
      </c>
      <c r="M878" s="487">
        <f>(J878+E878-2*G878)*(K878+F878/2+H878+I878/2)/2</f>
        <v>6044136.737507008</v>
      </c>
      <c r="N878" s="4"/>
    </row>
    <row r="879">
      <c r="A879" s="187">
        <f>A633</f>
        <v>101</v>
      </c>
      <c r="B879" s="174">
        <f>INPUT!H65</f>
        <v>2</v>
      </c>
      <c r="C879" s="174">
        <f>INPUT!I65</f>
        <v>500</v>
      </c>
      <c r="D879" s="174">
        <f>INPUT!J65</f>
        <v>22</v>
      </c>
      <c r="E879" s="174">
        <f>INPUT!K65</f>
        <v>1936.3312351792665</v>
      </c>
      <c r="F879" s="174">
        <f>INPUT!L65</f>
        <v>12</v>
      </c>
      <c r="G879" s="174">
        <f>INPUT!M65</f>
        <v>120</v>
      </c>
      <c r="H879" s="174">
        <f>INPUT!S65</f>
        <v>0</v>
      </c>
      <c r="I879" s="174">
        <f>INPUT!R65</f>
        <v>290</v>
      </c>
      <c r="J879" s="174">
        <f>INPUT!U65</f>
        <v>2400</v>
      </c>
      <c r="K879" s="191">
        <f>INPUT!N65</f>
        <v>2800</v>
      </c>
      <c r="L879" s="175">
        <f>(J879+E879-2*G879)*(K879+D879/2+F879/2)/2</f>
        <v>5769682.5447499966</v>
      </c>
      <c r="M879" s="487">
        <f>(J879+E879-2*G879)*(K879+F879/2+H879+I879/2)/2</f>
        <v>6044136.737507008</v>
      </c>
      <c r="N879" s="4"/>
    </row>
    <row r="880">
      <c r="A880" s="187">
        <f>A634</f>
        <v>101</v>
      </c>
      <c r="B880" s="174">
        <f>INPUT!H66</f>
        <v>2</v>
      </c>
      <c r="C880" s="174">
        <f>INPUT!I66</f>
        <v>500</v>
      </c>
      <c r="D880" s="174">
        <f>INPUT!J66</f>
        <v>22</v>
      </c>
      <c r="E880" s="174">
        <f>INPUT!K66</f>
        <v>1936.3312351792665</v>
      </c>
      <c r="F880" s="174">
        <f>INPUT!L66</f>
        <v>12</v>
      </c>
      <c r="G880" s="174">
        <f>INPUT!M66</f>
        <v>120</v>
      </c>
      <c r="H880" s="174">
        <f>INPUT!S66</f>
        <v>0</v>
      </c>
      <c r="I880" s="174">
        <f>INPUT!R66</f>
        <v>290</v>
      </c>
      <c r="J880" s="174">
        <f>INPUT!U66</f>
        <v>2400</v>
      </c>
      <c r="K880" s="191">
        <f>INPUT!N66</f>
        <v>2800</v>
      </c>
      <c r="L880" s="175">
        <f>(J880+E880-2*G880)*(K880+D880/2+F880/2)/2</f>
        <v>5769682.5447499966</v>
      </c>
      <c r="M880" s="487">
        <f>(J880+E880-2*G880)*(K880+F880/2+H880+I880/2)/2</f>
        <v>6044136.737507008</v>
      </c>
      <c r="N880" s="4"/>
    </row>
    <row r="881">
      <c r="A881" s="187">
        <f>A635</f>
        <v>101</v>
      </c>
      <c r="B881" s="174">
        <f>INPUT!H67</f>
        <v>2</v>
      </c>
      <c r="C881" s="174">
        <f>INPUT!I67</f>
        <v>500</v>
      </c>
      <c r="D881" s="174">
        <f>INPUT!J67</f>
        <v>22</v>
      </c>
      <c r="E881" s="174">
        <f>INPUT!K67</f>
        <v>1936.3312351792665</v>
      </c>
      <c r="F881" s="174">
        <f>INPUT!L67</f>
        <v>12</v>
      </c>
      <c r="G881" s="174">
        <f>INPUT!M67</f>
        <v>120</v>
      </c>
      <c r="H881" s="174">
        <f>INPUT!S67</f>
        <v>0</v>
      </c>
      <c r="I881" s="174">
        <f>INPUT!R67</f>
        <v>290</v>
      </c>
      <c r="J881" s="174">
        <f>INPUT!U67</f>
        <v>2400</v>
      </c>
      <c r="K881" s="191">
        <f>INPUT!N67</f>
        <v>2800</v>
      </c>
      <c r="L881" s="175">
        <f>(J881+E881-2*G881)*(K881+D881/2+F881/2)/2</f>
        <v>5769682.5447499966</v>
      </c>
      <c r="M881" s="487">
        <f>(J881+E881-2*G881)*(K881+F881/2+H881+I881/2)/2</f>
        <v>6044136.737507008</v>
      </c>
      <c r="N881" s="4"/>
    </row>
    <row r="882">
      <c r="A882" s="187">
        <f>A636</f>
        <v>101</v>
      </c>
      <c r="B882" s="174">
        <f>INPUT!H68</f>
        <v>2</v>
      </c>
      <c r="C882" s="174">
        <f>INPUT!I68</f>
        <v>500</v>
      </c>
      <c r="D882" s="174">
        <f>INPUT!J68</f>
        <v>22</v>
      </c>
      <c r="E882" s="174">
        <f>INPUT!K68</f>
        <v>1936.3312351792665</v>
      </c>
      <c r="F882" s="174">
        <f>INPUT!L68</f>
        <v>12</v>
      </c>
      <c r="G882" s="174">
        <f>INPUT!M68</f>
        <v>120</v>
      </c>
      <c r="H882" s="174">
        <f>INPUT!S68</f>
        <v>0</v>
      </c>
      <c r="I882" s="174">
        <f>INPUT!R68</f>
        <v>290</v>
      </c>
      <c r="J882" s="174">
        <f>INPUT!U68</f>
        <v>2400</v>
      </c>
      <c r="K882" s="191">
        <f>INPUT!N68</f>
        <v>2800</v>
      </c>
      <c r="L882" s="175">
        <f>(J882+E882-2*G882)*(K882+D882/2+F882/2)/2</f>
        <v>5769682.5447499966</v>
      </c>
      <c r="M882" s="487">
        <f>(J882+E882-2*G882)*(K882+F882/2+H882+I882/2)/2</f>
        <v>6044136.737507008</v>
      </c>
      <c r="N882" s="4"/>
    </row>
    <row r="883">
      <c r="A883" s="187">
        <f>A637</f>
        <v>101</v>
      </c>
      <c r="B883" s="174">
        <f>INPUT!H69</f>
        <v>2</v>
      </c>
      <c r="C883" s="174">
        <f>INPUT!I69</f>
        <v>500</v>
      </c>
      <c r="D883" s="174">
        <f>INPUT!J69</f>
        <v>22</v>
      </c>
      <c r="E883" s="174">
        <f>INPUT!K69</f>
        <v>1936.3312351792665</v>
      </c>
      <c r="F883" s="174">
        <f>INPUT!L69</f>
        <v>12</v>
      </c>
      <c r="G883" s="174">
        <f>INPUT!M69</f>
        <v>120</v>
      </c>
      <c r="H883" s="174">
        <f>INPUT!S69</f>
        <v>0</v>
      </c>
      <c r="I883" s="174">
        <f>INPUT!R69</f>
        <v>290</v>
      </c>
      <c r="J883" s="174">
        <f>INPUT!U69</f>
        <v>2400</v>
      </c>
      <c r="K883" s="191">
        <f>INPUT!N69</f>
        <v>2800</v>
      </c>
      <c r="L883" s="175">
        <f>(J883+E883-2*G883)*(K883+D883/2+F883/2)/2</f>
        <v>5769682.5447499966</v>
      </c>
      <c r="M883" s="487">
        <f>(J883+E883-2*G883)*(K883+F883/2+H883+I883/2)/2</f>
        <v>6044136.737507008</v>
      </c>
      <c r="N883" s="4"/>
    </row>
    <row r="884">
      <c r="A884" s="187">
        <f>A638</f>
        <v>101</v>
      </c>
      <c r="B884" s="174">
        <f>INPUT!H70</f>
        <v>2</v>
      </c>
      <c r="C884" s="174">
        <f>INPUT!I70</f>
        <v>500</v>
      </c>
      <c r="D884" s="174">
        <f>INPUT!J70</f>
        <v>22</v>
      </c>
      <c r="E884" s="174">
        <f>INPUT!K70</f>
        <v>1936.3312351792665</v>
      </c>
      <c r="F884" s="174">
        <f>INPUT!L70</f>
        <v>12</v>
      </c>
      <c r="G884" s="174">
        <f>INPUT!M70</f>
        <v>120</v>
      </c>
      <c r="H884" s="174">
        <f>INPUT!S70</f>
        <v>0</v>
      </c>
      <c r="I884" s="174">
        <f>INPUT!R70</f>
        <v>290</v>
      </c>
      <c r="J884" s="174">
        <f>INPUT!U70</f>
        <v>2400</v>
      </c>
      <c r="K884" s="191">
        <f>INPUT!N70</f>
        <v>2800</v>
      </c>
      <c r="L884" s="175">
        <f>(J884+E884-2*G884)*(K884+D884/2+F884/2)/2</f>
        <v>5769682.5447499966</v>
      </c>
      <c r="M884" s="487">
        <f>(J884+E884-2*G884)*(K884+F884/2+H884+I884/2)/2</f>
        <v>6044136.737507008</v>
      </c>
      <c r="N884" s="4"/>
    </row>
    <row r="885">
      <c r="A885" s="187">
        <f>A639</f>
        <v>101</v>
      </c>
      <c r="B885" s="174">
        <f>INPUT!H71</f>
        <v>2</v>
      </c>
      <c r="C885" s="174">
        <f>INPUT!I71</f>
        <v>500</v>
      </c>
      <c r="D885" s="174">
        <f>INPUT!J71</f>
        <v>22</v>
      </c>
      <c r="E885" s="174">
        <f>INPUT!K71</f>
        <v>1936.3312351792665</v>
      </c>
      <c r="F885" s="174">
        <f>INPUT!L71</f>
        <v>12</v>
      </c>
      <c r="G885" s="174">
        <f>INPUT!M71</f>
        <v>120</v>
      </c>
      <c r="H885" s="174">
        <f>INPUT!S71</f>
        <v>0</v>
      </c>
      <c r="I885" s="174">
        <f>INPUT!R71</f>
        <v>290</v>
      </c>
      <c r="J885" s="174">
        <f>INPUT!U71</f>
        <v>2400</v>
      </c>
      <c r="K885" s="191">
        <f>INPUT!N71</f>
        <v>2800</v>
      </c>
      <c r="L885" s="175">
        <f>(J885+E885-2*G885)*(K885+D885/2+F885/2)/2</f>
        <v>5769682.5447499966</v>
      </c>
      <c r="M885" s="487">
        <f>(J885+E885-2*G885)*(K885+F885/2+H885+I885/2)/2</f>
        <v>6044136.737507008</v>
      </c>
      <c r="N885" s="4"/>
    </row>
    <row r="886">
      <c r="A886" s="187">
        <f>A640</f>
        <v>101</v>
      </c>
      <c r="B886" s="174">
        <f>INPUT!H72</f>
        <v>2</v>
      </c>
      <c r="C886" s="174">
        <f>INPUT!I72</f>
        <v>500</v>
      </c>
      <c r="D886" s="174">
        <f>INPUT!J72</f>
        <v>22</v>
      </c>
      <c r="E886" s="174">
        <f>INPUT!K72</f>
        <v>1936.3312351792665</v>
      </c>
      <c r="F886" s="174">
        <f>INPUT!L72</f>
        <v>12</v>
      </c>
      <c r="G886" s="174">
        <f>INPUT!M72</f>
        <v>120</v>
      </c>
      <c r="H886" s="174">
        <f>INPUT!S72</f>
        <v>0</v>
      </c>
      <c r="I886" s="174">
        <f>INPUT!R72</f>
        <v>290</v>
      </c>
      <c r="J886" s="174">
        <f>INPUT!U72</f>
        <v>2400</v>
      </c>
      <c r="K886" s="191">
        <f>INPUT!N72</f>
        <v>2800</v>
      </c>
      <c r="L886" s="175">
        <f>(J886+E886-2*G886)*(K886+D886/2+F886/2)/2</f>
        <v>5769682.5447499966</v>
      </c>
      <c r="M886" s="487">
        <f>(J886+E886-2*G886)*(K886+F886/2+H886+I886/2)/2</f>
        <v>6044136.737507008</v>
      </c>
      <c r="N886" s="4"/>
    </row>
    <row r="887">
      <c r="A887" s="187">
        <f>A641</f>
        <v>101</v>
      </c>
      <c r="B887" s="174">
        <f>INPUT!H73</f>
        <v>2</v>
      </c>
      <c r="C887" s="174">
        <f>INPUT!I73</f>
        <v>500</v>
      </c>
      <c r="D887" s="174">
        <f>INPUT!J73</f>
        <v>22</v>
      </c>
      <c r="E887" s="174">
        <f>INPUT!K73</f>
        <v>1936.3312351792665</v>
      </c>
      <c r="F887" s="174">
        <f>INPUT!L73</f>
        <v>12</v>
      </c>
      <c r="G887" s="174">
        <f>INPUT!M73</f>
        <v>120</v>
      </c>
      <c r="H887" s="174">
        <f>INPUT!S73</f>
        <v>0</v>
      </c>
      <c r="I887" s="174">
        <f>INPUT!R73</f>
        <v>290</v>
      </c>
      <c r="J887" s="174">
        <f>INPUT!U73</f>
        <v>2400</v>
      </c>
      <c r="K887" s="191">
        <f>INPUT!N73</f>
        <v>2800</v>
      </c>
      <c r="L887" s="175">
        <f>(J887+E887-2*G887)*(K887+D887/2+F887/2)/2</f>
        <v>5769682.5447499966</v>
      </c>
      <c r="M887" s="487">
        <f>(J887+E887-2*G887)*(K887+F887/2+H887+I887/2)/2</f>
        <v>6044136.737507008</v>
      </c>
      <c r="N887" s="4"/>
    </row>
    <row r="888">
      <c r="A888" s="187">
        <f>A642</f>
        <v>101</v>
      </c>
      <c r="B888" s="174">
        <f>INPUT!H74</f>
        <v>2</v>
      </c>
      <c r="C888" s="174">
        <f>INPUT!I74</f>
        <v>500</v>
      </c>
      <c r="D888" s="174">
        <f>INPUT!J74</f>
        <v>22</v>
      </c>
      <c r="E888" s="174">
        <f>INPUT!K74</f>
        <v>1936.3312351792665</v>
      </c>
      <c r="F888" s="174">
        <f>INPUT!L74</f>
        <v>12</v>
      </c>
      <c r="G888" s="174">
        <f>INPUT!M74</f>
        <v>120</v>
      </c>
      <c r="H888" s="174">
        <f>INPUT!S74</f>
        <v>0</v>
      </c>
      <c r="I888" s="174">
        <f>INPUT!R74</f>
        <v>290</v>
      </c>
      <c r="J888" s="174">
        <f>INPUT!U74</f>
        <v>2400</v>
      </c>
      <c r="K888" s="191">
        <f>INPUT!N74</f>
        <v>2800</v>
      </c>
      <c r="L888" s="175">
        <f>(J888+E888-2*G888)*(K888+D888/2+F888/2)/2</f>
        <v>5769682.5447499966</v>
      </c>
      <c r="M888" s="487">
        <f>(J888+E888-2*G888)*(K888+F888/2+H888+I888/2)/2</f>
        <v>6044136.737507008</v>
      </c>
      <c r="N888" s="4"/>
    </row>
    <row r="889">
      <c r="A889" s="187">
        <f>A643</f>
        <v>101</v>
      </c>
      <c r="B889" s="174">
        <f>INPUT!H75</f>
        <v>2</v>
      </c>
      <c r="C889" s="174">
        <f>INPUT!I75</f>
        <v>500</v>
      </c>
      <c r="D889" s="174">
        <f>INPUT!J75</f>
        <v>22</v>
      </c>
      <c r="E889" s="174">
        <f>INPUT!K75</f>
        <v>1936.3312351792665</v>
      </c>
      <c r="F889" s="174">
        <f>INPUT!L75</f>
        <v>12</v>
      </c>
      <c r="G889" s="174">
        <f>INPUT!M75</f>
        <v>120</v>
      </c>
      <c r="H889" s="174">
        <f>INPUT!S75</f>
        <v>0</v>
      </c>
      <c r="I889" s="174">
        <f>INPUT!R75</f>
        <v>290</v>
      </c>
      <c r="J889" s="174">
        <f>INPUT!U75</f>
        <v>2400</v>
      </c>
      <c r="K889" s="191">
        <f>INPUT!N75</f>
        <v>2800</v>
      </c>
      <c r="L889" s="175">
        <f>(J889+E889-2*G889)*(K889+D889/2+F889/2)/2</f>
        <v>5769682.5447499966</v>
      </c>
      <c r="M889" s="487">
        <f>(J889+E889-2*G889)*(K889+F889/2+H889+I889/2)/2</f>
        <v>6044136.737507008</v>
      </c>
      <c r="N889" s="4"/>
    </row>
    <row r="890">
      <c r="A890" s="187">
        <f>A644</f>
        <v>101</v>
      </c>
      <c r="B890" s="174">
        <f>INPUT!H76</f>
        <v>2</v>
      </c>
      <c r="C890" s="174">
        <f>INPUT!I76</f>
        <v>500</v>
      </c>
      <c r="D890" s="174">
        <f>INPUT!J76</f>
        <v>22</v>
      </c>
      <c r="E890" s="174">
        <f>INPUT!K76</f>
        <v>1936.3312351792665</v>
      </c>
      <c r="F890" s="174">
        <f>INPUT!L76</f>
        <v>12</v>
      </c>
      <c r="G890" s="174">
        <f>INPUT!M76</f>
        <v>120</v>
      </c>
      <c r="H890" s="174">
        <f>INPUT!S76</f>
        <v>0</v>
      </c>
      <c r="I890" s="174">
        <f>INPUT!R76</f>
        <v>290</v>
      </c>
      <c r="J890" s="174">
        <f>INPUT!U76</f>
        <v>2400</v>
      </c>
      <c r="K890" s="191">
        <f>INPUT!N76</f>
        <v>2800</v>
      </c>
      <c r="L890" s="175">
        <f>(J890+E890-2*G890)*(K890+D890/2+F890/2)/2</f>
        <v>5769682.5447499966</v>
      </c>
      <c r="M890" s="487">
        <f>(J890+E890-2*G890)*(K890+F890/2+H890+I890/2)/2</f>
        <v>6044136.737507008</v>
      </c>
      <c r="N890" s="4"/>
    </row>
    <row r="891">
      <c r="A891" s="187">
        <f>A645</f>
        <v>101</v>
      </c>
      <c r="B891" s="174">
        <f>INPUT!H77</f>
        <v>2</v>
      </c>
      <c r="C891" s="174">
        <f>INPUT!I77</f>
        <v>500</v>
      </c>
      <c r="D891" s="174">
        <f>INPUT!J77</f>
        <v>22</v>
      </c>
      <c r="E891" s="174">
        <f>INPUT!K77</f>
        <v>1936.3312351792665</v>
      </c>
      <c r="F891" s="174">
        <f>INPUT!L77</f>
        <v>12</v>
      </c>
      <c r="G891" s="174">
        <f>INPUT!M77</f>
        <v>120</v>
      </c>
      <c r="H891" s="174">
        <f>INPUT!S77</f>
        <v>0</v>
      </c>
      <c r="I891" s="174">
        <f>INPUT!R77</f>
        <v>290</v>
      </c>
      <c r="J891" s="174">
        <f>INPUT!U77</f>
        <v>2400</v>
      </c>
      <c r="K891" s="191">
        <f>INPUT!N77</f>
        <v>2800</v>
      </c>
      <c r="L891" s="175">
        <f>(J891+E891-2*G891)*(K891+D891/2+F891/2)/2</f>
        <v>5769682.5447499966</v>
      </c>
      <c r="M891" s="487">
        <f>(J891+E891-2*G891)*(K891+F891/2+H891+I891/2)/2</f>
        <v>6044136.737507008</v>
      </c>
      <c r="N891" s="4"/>
    </row>
    <row r="892">
      <c r="A892" s="187">
        <f>A646</f>
        <v>101</v>
      </c>
      <c r="B892" s="174">
        <f>INPUT!H78</f>
        <v>2</v>
      </c>
      <c r="C892" s="174">
        <f>INPUT!I78</f>
        <v>500</v>
      </c>
      <c r="D892" s="174">
        <f>INPUT!J78</f>
        <v>22</v>
      </c>
      <c r="E892" s="174">
        <f>INPUT!K78</f>
        <v>1936.3312351792665</v>
      </c>
      <c r="F892" s="174">
        <f>INPUT!L78</f>
        <v>12</v>
      </c>
      <c r="G892" s="174">
        <f>INPUT!M78</f>
        <v>120</v>
      </c>
      <c r="H892" s="174">
        <f>INPUT!S78</f>
        <v>0</v>
      </c>
      <c r="I892" s="174">
        <f>INPUT!R78</f>
        <v>290</v>
      </c>
      <c r="J892" s="174">
        <f>INPUT!U78</f>
        <v>2400</v>
      </c>
      <c r="K892" s="191">
        <f>INPUT!N78</f>
        <v>2800</v>
      </c>
      <c r="L892" s="175">
        <f>(J892+E892-2*G892)*(K892+D892/2+F892/2)/2</f>
        <v>5769682.5447499966</v>
      </c>
      <c r="M892" s="487">
        <f>(J892+E892-2*G892)*(K892+F892/2+H892+I892/2)/2</f>
        <v>6044136.737507008</v>
      </c>
      <c r="N892" s="4"/>
    </row>
    <row r="893" ht="15" customHeight="1" s="4" customFormat="1">
      <c r="A893" s="207"/>
      <c r="B893" s="207"/>
      <c r="C893" s="138"/>
      <c r="D893" s="138"/>
      <c r="E893" s="138"/>
      <c r="F893" s="138"/>
      <c r="G893" s="133"/>
      <c r="H893" s="133"/>
      <c r="I893" s="133"/>
      <c r="J893" s="133"/>
      <c r="K893" s="133"/>
      <c r="L893" s="133"/>
      <c r="M893" s="312"/>
      <c r="N893" s="312"/>
      <c r="O893" s="350"/>
      <c r="P893" s="367"/>
      <c r="Q893" s="312"/>
      <c r="R893" s="312"/>
      <c r="S893" s="300"/>
      <c r="T893" s="300"/>
      <c r="U893" s="312"/>
      <c r="V893" s="312"/>
      <c r="W893" s="312"/>
      <c r="X893" s="312"/>
      <c r="Y893" s="133"/>
      <c r="Z893" s="133"/>
      <c r="AB893" s="207"/>
      <c r="AE893" s="207"/>
    </row>
    <row r="894" ht="15" customHeight="1" s="4" customFormat="1">
      <c r="A894" s="59" t="s">
        <v>922</v>
      </c>
      <c r="G894" s="110"/>
      <c r="H894" s="110"/>
      <c r="I894" s="110"/>
      <c r="L894" s="207"/>
      <c r="O894" s="296"/>
      <c r="P894" s="64"/>
      <c r="Z894" s="207"/>
      <c r="AB894" s="207"/>
      <c r="AE894" s="207"/>
    </row>
    <row r="895" ht="15" customHeight="1" s="4" customFormat="1">
      <c r="A895" s="273" t="s">
        <v>230</v>
      </c>
      <c r="B895" s="494" t="s">
        <v>380</v>
      </c>
      <c r="C895" s="498"/>
      <c r="D895" s="498"/>
      <c r="E895" s="498"/>
      <c r="F895" s="498"/>
      <c r="G895" s="498"/>
      <c r="H895" s="495"/>
      <c r="I895" s="274" t="s">
        <v>923</v>
      </c>
      <c r="J895" s="274" t="s">
        <v>924</v>
      </c>
      <c r="K895" s="274" t="s">
        <v>925</v>
      </c>
      <c r="L895" s="275" t="s">
        <v>382</v>
      </c>
      <c r="N895" s="205"/>
      <c r="O895" s="296"/>
      <c r="P895" s="64"/>
      <c r="Z895" s="207"/>
    </row>
    <row r="896" ht="15" customHeight="1" s="4" customFormat="1">
      <c r="A896" s="276"/>
      <c r="B896" s="285" t="s">
        <v>385</v>
      </c>
      <c r="C896" s="285" t="s">
        <v>386</v>
      </c>
      <c r="D896" s="285" t="s">
        <v>387</v>
      </c>
      <c r="E896" s="285" t="s">
        <v>926</v>
      </c>
      <c r="F896" s="285" t="s">
        <v>927</v>
      </c>
      <c r="G896" s="285" t="s">
        <v>928</v>
      </c>
      <c r="H896" s="285" t="s">
        <v>929</v>
      </c>
      <c r="I896" s="277"/>
      <c r="J896" s="277"/>
      <c r="K896" s="277"/>
      <c r="L896" s="278"/>
      <c r="O896" s="296"/>
      <c r="P896" s="64"/>
      <c r="Z896" s="207"/>
    </row>
    <row r="897" ht="15" customHeight="1">
      <c r="A897" s="187">
        <f>A817</f>
        <v>101</v>
      </c>
      <c r="B897" s="191">
        <f>INPUT!AW3</f>
        <v>-15.450687251974125</v>
      </c>
      <c r="C897" s="191">
        <f>INPUT!AX3</f>
        <v>0.0077810315162377564</v>
      </c>
      <c r="D897" s="191">
        <f>INPUT!AY3</f>
        <v>-33.358852623308422</v>
      </c>
      <c r="E897" s="191">
        <f>INPUT!CB3</f>
        <v>681.48636646994623</v>
      </c>
      <c r="F897" s="191">
        <f>INPUT!CC3</f>
        <v>-30.995046428479881</v>
      </c>
      <c r="G897" s="191">
        <f>INPUT!CD3</f>
        <v>753.41665672307568</v>
      </c>
      <c r="H897" s="191">
        <f>INPUT!CE3</f>
        <v>-2107.9034132057982</v>
      </c>
      <c r="I897" s="192">
        <f>1.25*(B897+C897+D897)/2/L817/IF(B112="Positive",D817,F817)*10^6</f>
        <v>-0.44053693654699411</v>
      </c>
      <c r="J897" s="192">
        <f>(1.25*E897+1.5*F897+1.8*IF(1.25*E897+1.5*F897&gt;=0,G897,H897))/2/M817/IF(B112="Positive",D817,F817)*10^6</f>
        <v>14.900910477510955</v>
      </c>
      <c r="K897" s="192">
        <f>I897+J897</f>
        <v>14.46037354096396</v>
      </c>
      <c r="L897" s="194">
        <f>SQRT(1-(K897/INPUT!AO3)^2)</f>
        <v>0.999275698902602</v>
      </c>
      <c r="M897" s="4"/>
      <c r="N897" s="4"/>
    </row>
    <row r="898">
      <c r="A898" s="187">
        <f>A818</f>
        <v>101</v>
      </c>
      <c r="B898" s="191">
        <f>INPUT!AW4</f>
        <v>-15.450687251974125</v>
      </c>
      <c r="C898" s="191">
        <f>INPUT!AX4</f>
        <v>0.0077810315162377564</v>
      </c>
      <c r="D898" s="191">
        <f>INPUT!AY4</f>
        <v>-33.358852623308422</v>
      </c>
      <c r="E898" s="191">
        <f>INPUT!CB4</f>
        <v>681.48636646994623</v>
      </c>
      <c r="F898" s="191">
        <f>INPUT!CC4</f>
        <v>-30.995046428479881</v>
      </c>
      <c r="G898" s="191">
        <f>INPUT!CD4</f>
        <v>753.41665672307568</v>
      </c>
      <c r="H898" s="191">
        <f>INPUT!CE4</f>
        <v>-2107.9034132057982</v>
      </c>
      <c r="I898" s="192">
        <f>1.25*(B898+C898+D898)/2/L818/IF(B113="Positive",D818,F818)*10^6</f>
        <v>-0.44053693654699411</v>
      </c>
      <c r="J898" s="192">
        <f>(1.25*E898+1.5*F898+1.8*IF(1.25*E898+1.5*F898&gt;=0,G898,H898))/2/M818/IF(B113="Positive",D818,F818)*10^6</f>
        <v>14.900910477510955</v>
      </c>
      <c r="K898" s="192">
        <f>I898+J898</f>
        <v>14.46037354096396</v>
      </c>
      <c r="L898" s="194">
        <f>SQRT(1-(K898/INPUT!AO4)^2)</f>
        <v>0.999275698902602</v>
      </c>
      <c r="M898" s="4"/>
      <c r="N898" s="4"/>
    </row>
    <row r="899">
      <c r="A899" s="187">
        <f>A819</f>
        <v>101</v>
      </c>
      <c r="B899" s="191">
        <f>INPUT!AW5</f>
        <v>-15.450687251974125</v>
      </c>
      <c r="C899" s="191">
        <f>INPUT!AX5</f>
        <v>0.0077810315162377564</v>
      </c>
      <c r="D899" s="191">
        <f>INPUT!AY5</f>
        <v>-33.358852623308422</v>
      </c>
      <c r="E899" s="191">
        <f>INPUT!CB5</f>
        <v>681.48636646994623</v>
      </c>
      <c r="F899" s="191">
        <f>INPUT!CC5</f>
        <v>-30.995046428479881</v>
      </c>
      <c r="G899" s="191">
        <f>INPUT!CD5</f>
        <v>753.41665672307568</v>
      </c>
      <c r="H899" s="191">
        <f>INPUT!CE5</f>
        <v>-2107.9034132057982</v>
      </c>
      <c r="I899" s="192">
        <f>1.25*(B899+C899+D899)/2/L819/IF(B114="Positive",D819,F819)*10^6</f>
        <v>-0.44053693654699411</v>
      </c>
      <c r="J899" s="192">
        <f>(1.25*E899+1.5*F899+1.8*IF(1.25*E899+1.5*F899&gt;=0,G899,H899))/2/M819/IF(B114="Positive",D819,F819)*10^6</f>
        <v>14.900910477510955</v>
      </c>
      <c r="K899" s="192">
        <f>I899+J899</f>
        <v>14.46037354096396</v>
      </c>
      <c r="L899" s="194">
        <f>SQRT(1-(K899/INPUT!AO5)^2)</f>
        <v>0.999275698902602</v>
      </c>
      <c r="M899" s="4"/>
      <c r="N899" s="4"/>
    </row>
    <row r="900">
      <c r="A900" s="187">
        <f>A820</f>
        <v>101</v>
      </c>
      <c r="B900" s="191">
        <f>INPUT!AW6</f>
        <v>-15.450687251974125</v>
      </c>
      <c r="C900" s="191">
        <f>INPUT!AX6</f>
        <v>0.0077810315162377564</v>
      </c>
      <c r="D900" s="191">
        <f>INPUT!AY6</f>
        <v>-33.358852623308422</v>
      </c>
      <c r="E900" s="191">
        <f>INPUT!CB6</f>
        <v>681.48636646994623</v>
      </c>
      <c r="F900" s="191">
        <f>INPUT!CC6</f>
        <v>-30.995046428479881</v>
      </c>
      <c r="G900" s="191">
        <f>INPUT!CD6</f>
        <v>753.41665672307568</v>
      </c>
      <c r="H900" s="191">
        <f>INPUT!CE6</f>
        <v>-2107.9034132057982</v>
      </c>
      <c r="I900" s="192">
        <f>1.25*(B900+C900+D900)/2/L820/IF(B115="Positive",D820,F820)*10^6</f>
        <v>-0.44053693654699411</v>
      </c>
      <c r="J900" s="192">
        <f>(1.25*E900+1.5*F900+1.8*IF(1.25*E900+1.5*F900&gt;=0,G900,H900))/2/M820/IF(B115="Positive",D820,F820)*10^6</f>
        <v>14.900910477510955</v>
      </c>
      <c r="K900" s="192">
        <f>I900+J900</f>
        <v>14.46037354096396</v>
      </c>
      <c r="L900" s="194">
        <f>SQRT(1-(K900/INPUT!AO6)^2)</f>
        <v>0.999275698902602</v>
      </c>
      <c r="M900" s="4"/>
      <c r="N900" s="4"/>
    </row>
    <row r="901">
      <c r="A901" s="187">
        <f>A821</f>
        <v>101</v>
      </c>
      <c r="B901" s="191">
        <f>INPUT!AW7</f>
        <v>-15.450687251974125</v>
      </c>
      <c r="C901" s="191">
        <f>INPUT!AX7</f>
        <v>0.0077810315162377564</v>
      </c>
      <c r="D901" s="191">
        <f>INPUT!AY7</f>
        <v>-33.358852623308422</v>
      </c>
      <c r="E901" s="191">
        <f>INPUT!CB7</f>
        <v>681.48636646994623</v>
      </c>
      <c r="F901" s="191">
        <f>INPUT!CC7</f>
        <v>-30.995046428479881</v>
      </c>
      <c r="G901" s="191">
        <f>INPUT!CD7</f>
        <v>753.41665672307568</v>
      </c>
      <c r="H901" s="191">
        <f>INPUT!CE7</f>
        <v>-2107.9034132057982</v>
      </c>
      <c r="I901" s="192">
        <f>1.25*(B901+C901+D901)/2/L821/IF(B116="Positive",D821,F821)*10^6</f>
        <v>-0.44053693654699411</v>
      </c>
      <c r="J901" s="192">
        <f>(1.25*E901+1.5*F901+1.8*IF(1.25*E901+1.5*F901&gt;=0,G901,H901))/2/M821/IF(B116="Positive",D821,F821)*10^6</f>
        <v>14.900910477510955</v>
      </c>
      <c r="K901" s="192">
        <f>I901+J901</f>
        <v>14.46037354096396</v>
      </c>
      <c r="L901" s="194">
        <f>SQRT(1-(K901/INPUT!AO7)^2)</f>
        <v>0.999275698902602</v>
      </c>
      <c r="M901" s="4"/>
      <c r="N901" s="4"/>
    </row>
    <row r="902">
      <c r="A902" s="187">
        <f>A822</f>
        <v>101</v>
      </c>
      <c r="B902" s="191">
        <f>INPUT!AW8</f>
        <v>-15.450687251974125</v>
      </c>
      <c r="C902" s="191">
        <f>INPUT!AX8</f>
        <v>0.0077810315162377564</v>
      </c>
      <c r="D902" s="191">
        <f>INPUT!AY8</f>
        <v>-33.358852623308422</v>
      </c>
      <c r="E902" s="191">
        <f>INPUT!CB8</f>
        <v>681.48636646994623</v>
      </c>
      <c r="F902" s="191">
        <f>INPUT!CC8</f>
        <v>-30.995046428479881</v>
      </c>
      <c r="G902" s="191">
        <f>INPUT!CD8</f>
        <v>753.41665672307568</v>
      </c>
      <c r="H902" s="191">
        <f>INPUT!CE8</f>
        <v>-2107.9034132057982</v>
      </c>
      <c r="I902" s="192">
        <f>1.25*(B902+C902+D902)/2/L822/IF(B117="Positive",D822,F822)*10^6</f>
        <v>-0.44053693654699411</v>
      </c>
      <c r="J902" s="192">
        <f>(1.25*E902+1.5*F902+1.8*IF(1.25*E902+1.5*F902&gt;=0,G902,H902))/2/M822/IF(B117="Positive",D822,F822)*10^6</f>
        <v>14.900910477510955</v>
      </c>
      <c r="K902" s="192">
        <f>I902+J902</f>
        <v>14.46037354096396</v>
      </c>
      <c r="L902" s="194">
        <f>SQRT(1-(K902/INPUT!AO8)^2)</f>
        <v>0.999275698902602</v>
      </c>
      <c r="M902" s="4"/>
      <c r="N902" s="4"/>
    </row>
    <row r="903">
      <c r="A903" s="187">
        <f>A823</f>
        <v>101</v>
      </c>
      <c r="B903" s="191">
        <f>INPUT!AW9</f>
        <v>-15.450687251974125</v>
      </c>
      <c r="C903" s="191">
        <f>INPUT!AX9</f>
        <v>0.0077810315162377564</v>
      </c>
      <c r="D903" s="191">
        <f>INPUT!AY9</f>
        <v>-33.358852623308422</v>
      </c>
      <c r="E903" s="191">
        <f>INPUT!CB9</f>
        <v>681.48636646994623</v>
      </c>
      <c r="F903" s="191">
        <f>INPUT!CC9</f>
        <v>-30.995046428479881</v>
      </c>
      <c r="G903" s="191">
        <f>INPUT!CD9</f>
        <v>753.41665672307568</v>
      </c>
      <c r="H903" s="191">
        <f>INPUT!CE9</f>
        <v>-2107.9034132057982</v>
      </c>
      <c r="I903" s="192">
        <f>1.25*(B903+C903+D903)/2/L823/IF(B118="Positive",D823,F823)*10^6</f>
        <v>-0.44053693654699411</v>
      </c>
      <c r="J903" s="192">
        <f>(1.25*E903+1.5*F903+1.8*IF(1.25*E903+1.5*F903&gt;=0,G903,H903))/2/M823/IF(B118="Positive",D823,F823)*10^6</f>
        <v>14.900910477510955</v>
      </c>
      <c r="K903" s="192">
        <f>I903+J903</f>
        <v>14.46037354096396</v>
      </c>
      <c r="L903" s="194">
        <f>SQRT(1-(K903/INPUT!AO9)^2)</f>
        <v>0.999275698902602</v>
      </c>
      <c r="M903" s="4"/>
      <c r="N903" s="4"/>
    </row>
    <row r="904">
      <c r="A904" s="187">
        <f>A824</f>
        <v>101</v>
      </c>
      <c r="B904" s="191">
        <f>INPUT!AW10</f>
        <v>-15.450687251974125</v>
      </c>
      <c r="C904" s="191">
        <f>INPUT!AX10</f>
        <v>0.0077810315162377564</v>
      </c>
      <c r="D904" s="191">
        <f>INPUT!AY10</f>
        <v>-33.358852623308422</v>
      </c>
      <c r="E904" s="191">
        <f>INPUT!CB10</f>
        <v>681.48636646994623</v>
      </c>
      <c r="F904" s="191">
        <f>INPUT!CC10</f>
        <v>-30.995046428479881</v>
      </c>
      <c r="G904" s="191">
        <f>INPUT!CD10</f>
        <v>753.41665672307568</v>
      </c>
      <c r="H904" s="191">
        <f>INPUT!CE10</f>
        <v>-2107.9034132057982</v>
      </c>
      <c r="I904" s="192">
        <f>1.25*(B904+C904+D904)/2/L824/IF(B119="Positive",D824,F824)*10^6</f>
        <v>-0.44053693654699411</v>
      </c>
      <c r="J904" s="192">
        <f>(1.25*E904+1.5*F904+1.8*IF(1.25*E904+1.5*F904&gt;=0,G904,H904))/2/M824/IF(B119="Positive",D824,F824)*10^6</f>
        <v>14.900910477510955</v>
      </c>
      <c r="K904" s="192">
        <f>I904+J904</f>
        <v>14.46037354096396</v>
      </c>
      <c r="L904" s="194">
        <f>SQRT(1-(K904/INPUT!AO10)^2)</f>
        <v>0.999275698902602</v>
      </c>
      <c r="M904" s="4"/>
      <c r="N904" s="4"/>
    </row>
    <row r="905">
      <c r="A905" s="187">
        <f>A825</f>
        <v>101</v>
      </c>
      <c r="B905" s="191">
        <f>INPUT!AW11</f>
        <v>-15.450687251974125</v>
      </c>
      <c r="C905" s="191">
        <f>INPUT!AX11</f>
        <v>0.0077810315162377564</v>
      </c>
      <c r="D905" s="191">
        <f>INPUT!AY11</f>
        <v>-33.358852623308422</v>
      </c>
      <c r="E905" s="191">
        <f>INPUT!CB11</f>
        <v>681.48636646994623</v>
      </c>
      <c r="F905" s="191">
        <f>INPUT!CC11</f>
        <v>-30.995046428479881</v>
      </c>
      <c r="G905" s="191">
        <f>INPUT!CD11</f>
        <v>753.41665672307568</v>
      </c>
      <c r="H905" s="191">
        <f>INPUT!CE11</f>
        <v>-2107.9034132057982</v>
      </c>
      <c r="I905" s="192">
        <f>1.25*(B905+C905+D905)/2/L825/IF(B120="Positive",D825,F825)*10^6</f>
        <v>-0.44053693654699411</v>
      </c>
      <c r="J905" s="192">
        <f>(1.25*E905+1.5*F905+1.8*IF(1.25*E905+1.5*F905&gt;=0,G905,H905))/2/M825/IF(B120="Positive",D825,F825)*10^6</f>
        <v>14.900910477510955</v>
      </c>
      <c r="K905" s="192">
        <f>I905+J905</f>
        <v>14.46037354096396</v>
      </c>
      <c r="L905" s="194">
        <f>SQRT(1-(K905/INPUT!AO11)^2)</f>
        <v>0.999275698902602</v>
      </c>
      <c r="M905" s="4"/>
      <c r="N905" s="4"/>
    </row>
    <row r="906">
      <c r="A906" s="187">
        <f>A826</f>
        <v>101</v>
      </c>
      <c r="B906" s="191">
        <f>INPUT!AW12</f>
        <v>-15.450687251974125</v>
      </c>
      <c r="C906" s="191">
        <f>INPUT!AX12</f>
        <v>0.0077810315162377564</v>
      </c>
      <c r="D906" s="191">
        <f>INPUT!AY12</f>
        <v>-33.358852623308422</v>
      </c>
      <c r="E906" s="191">
        <f>INPUT!CB12</f>
        <v>681.48636646994623</v>
      </c>
      <c r="F906" s="191">
        <f>INPUT!CC12</f>
        <v>-30.995046428479881</v>
      </c>
      <c r="G906" s="191">
        <f>INPUT!CD12</f>
        <v>753.41665672307568</v>
      </c>
      <c r="H906" s="191">
        <f>INPUT!CE12</f>
        <v>-2107.9034132057982</v>
      </c>
      <c r="I906" s="192">
        <f>1.25*(B906+C906+D906)/2/L826/IF(B121="Positive",D826,F826)*10^6</f>
        <v>-0.44053693654699411</v>
      </c>
      <c r="J906" s="192">
        <f>(1.25*E906+1.5*F906+1.8*IF(1.25*E906+1.5*F906&gt;=0,G906,H906))/2/M826/IF(B121="Positive",D826,F826)*10^6</f>
        <v>14.900910477510955</v>
      </c>
      <c r="K906" s="192">
        <f>I906+J906</f>
        <v>14.46037354096396</v>
      </c>
      <c r="L906" s="194">
        <f>SQRT(1-(K906/INPUT!AO12)^2)</f>
        <v>0.999275698902602</v>
      </c>
      <c r="M906" s="4"/>
      <c r="N906" s="4"/>
    </row>
    <row r="907">
      <c r="A907" s="187">
        <f>A827</f>
        <v>101</v>
      </c>
      <c r="B907" s="191">
        <f>INPUT!AW13</f>
        <v>-15.450687251974125</v>
      </c>
      <c r="C907" s="191">
        <f>INPUT!AX13</f>
        <v>0.0077810315162377564</v>
      </c>
      <c r="D907" s="191">
        <f>INPUT!AY13</f>
        <v>-33.358852623308422</v>
      </c>
      <c r="E907" s="191">
        <f>INPUT!CB13</f>
        <v>681.48636646994623</v>
      </c>
      <c r="F907" s="191">
        <f>INPUT!CC13</f>
        <v>-30.995046428479881</v>
      </c>
      <c r="G907" s="191">
        <f>INPUT!CD13</f>
        <v>753.41665672307568</v>
      </c>
      <c r="H907" s="191">
        <f>INPUT!CE13</f>
        <v>-2107.9034132057982</v>
      </c>
      <c r="I907" s="192">
        <f>1.25*(B907+C907+D907)/2/L827/IF(B122="Positive",D827,F827)*10^6</f>
        <v>-0.44053693654699411</v>
      </c>
      <c r="J907" s="192">
        <f>(1.25*E907+1.5*F907+1.8*IF(1.25*E907+1.5*F907&gt;=0,G907,H907))/2/M827/IF(B122="Positive",D827,F827)*10^6</f>
        <v>14.900910477510955</v>
      </c>
      <c r="K907" s="192">
        <f>I907+J907</f>
        <v>14.46037354096396</v>
      </c>
      <c r="L907" s="194">
        <f>SQRT(1-(K907/INPUT!AO13)^2)</f>
        <v>0.999275698902602</v>
      </c>
      <c r="M907" s="4"/>
      <c r="N907" s="4"/>
    </row>
    <row r="908">
      <c r="A908" s="187">
        <f>A828</f>
        <v>101</v>
      </c>
      <c r="B908" s="191">
        <f>INPUT!AW14</f>
        <v>-15.450687251974125</v>
      </c>
      <c r="C908" s="191">
        <f>INPUT!AX14</f>
        <v>0.0077810315162377564</v>
      </c>
      <c r="D908" s="191">
        <f>INPUT!AY14</f>
        <v>-33.358852623308422</v>
      </c>
      <c r="E908" s="191">
        <f>INPUT!CB14</f>
        <v>681.48636646994623</v>
      </c>
      <c r="F908" s="191">
        <f>INPUT!CC14</f>
        <v>-30.995046428479881</v>
      </c>
      <c r="G908" s="191">
        <f>INPUT!CD14</f>
        <v>753.41665672307568</v>
      </c>
      <c r="H908" s="191">
        <f>INPUT!CE14</f>
        <v>-2107.9034132057982</v>
      </c>
      <c r="I908" s="192">
        <f>1.25*(B908+C908+D908)/2/L828/IF(B123="Positive",D828,F828)*10^6</f>
        <v>-0.44053693654699411</v>
      </c>
      <c r="J908" s="192">
        <f>(1.25*E908+1.5*F908+1.8*IF(1.25*E908+1.5*F908&gt;=0,G908,H908))/2/M828/IF(B123="Positive",D828,F828)*10^6</f>
        <v>14.900910477510955</v>
      </c>
      <c r="K908" s="192">
        <f>I908+J908</f>
        <v>14.46037354096396</v>
      </c>
      <c r="L908" s="194">
        <f>SQRT(1-(K908/INPUT!AO14)^2)</f>
        <v>0.999275698902602</v>
      </c>
      <c r="M908" s="4"/>
      <c r="N908" s="4"/>
    </row>
    <row r="909">
      <c r="A909" s="187">
        <f>A829</f>
        <v>101</v>
      </c>
      <c r="B909" s="191">
        <f>INPUT!AW15</f>
        <v>-15.450687251974125</v>
      </c>
      <c r="C909" s="191">
        <f>INPUT!AX15</f>
        <v>0.0077810315162377564</v>
      </c>
      <c r="D909" s="191">
        <f>INPUT!AY15</f>
        <v>-33.358852623308422</v>
      </c>
      <c r="E909" s="191">
        <f>INPUT!CB15</f>
        <v>681.48636646994623</v>
      </c>
      <c r="F909" s="191">
        <f>INPUT!CC15</f>
        <v>-30.995046428479881</v>
      </c>
      <c r="G909" s="191">
        <f>INPUT!CD15</f>
        <v>753.41665672307568</v>
      </c>
      <c r="H909" s="191">
        <f>INPUT!CE15</f>
        <v>-2107.9034132057982</v>
      </c>
      <c r="I909" s="192">
        <f>1.25*(B909+C909+D909)/2/L829/IF(B124="Positive",D829,F829)*10^6</f>
        <v>-0.44053693654699411</v>
      </c>
      <c r="J909" s="192">
        <f>(1.25*E909+1.5*F909+1.8*IF(1.25*E909+1.5*F909&gt;=0,G909,H909))/2/M829/IF(B124="Positive",D829,F829)*10^6</f>
        <v>14.900910477510955</v>
      </c>
      <c r="K909" s="192">
        <f>I909+J909</f>
        <v>14.46037354096396</v>
      </c>
      <c r="L909" s="194">
        <f>SQRT(1-(K909/INPUT!AO15)^2)</f>
        <v>0.999275698902602</v>
      </c>
      <c r="M909" s="4"/>
      <c r="N909" s="4"/>
    </row>
    <row r="910">
      <c r="A910" s="187">
        <f>A830</f>
        <v>101</v>
      </c>
      <c r="B910" s="191">
        <f>INPUT!AW16</f>
        <v>-15.450687251974125</v>
      </c>
      <c r="C910" s="191">
        <f>INPUT!AX16</f>
        <v>0.0077810315162377564</v>
      </c>
      <c r="D910" s="191">
        <f>INPUT!AY16</f>
        <v>-33.358852623308422</v>
      </c>
      <c r="E910" s="191">
        <f>INPUT!CB16</f>
        <v>681.48636646994623</v>
      </c>
      <c r="F910" s="191">
        <f>INPUT!CC16</f>
        <v>-30.995046428479881</v>
      </c>
      <c r="G910" s="191">
        <f>INPUT!CD16</f>
        <v>753.41665672307568</v>
      </c>
      <c r="H910" s="191">
        <f>INPUT!CE16</f>
        <v>-2107.9034132057982</v>
      </c>
      <c r="I910" s="192">
        <f>1.25*(B910+C910+D910)/2/L830/IF(B125="Positive",D830,F830)*10^6</f>
        <v>-0.44053693654699411</v>
      </c>
      <c r="J910" s="192">
        <f>(1.25*E910+1.5*F910+1.8*IF(1.25*E910+1.5*F910&gt;=0,G910,H910))/2/M830/IF(B125="Positive",D830,F830)*10^6</f>
        <v>14.900910477510955</v>
      </c>
      <c r="K910" s="192">
        <f>I910+J910</f>
        <v>14.46037354096396</v>
      </c>
      <c r="L910" s="194">
        <f>SQRT(1-(K910/INPUT!AO16)^2)</f>
        <v>0.999275698902602</v>
      </c>
      <c r="M910" s="4"/>
      <c r="N910" s="4"/>
    </row>
    <row r="911">
      <c r="A911" s="187">
        <f>A831</f>
        <v>101</v>
      </c>
      <c r="B911" s="191">
        <f>INPUT!AW17</f>
        <v>-15.450687251974125</v>
      </c>
      <c r="C911" s="191">
        <f>INPUT!AX17</f>
        <v>0.0077810315162377564</v>
      </c>
      <c r="D911" s="191">
        <f>INPUT!AY17</f>
        <v>-33.358852623308422</v>
      </c>
      <c r="E911" s="191">
        <f>INPUT!CB17</f>
        <v>681.48636646994623</v>
      </c>
      <c r="F911" s="191">
        <f>INPUT!CC17</f>
        <v>-30.995046428479881</v>
      </c>
      <c r="G911" s="191">
        <f>INPUT!CD17</f>
        <v>753.41665672307568</v>
      </c>
      <c r="H911" s="191">
        <f>INPUT!CE17</f>
        <v>-2107.9034132057982</v>
      </c>
      <c r="I911" s="192">
        <f>1.25*(B911+C911+D911)/2/L831/IF(B126="Positive",D831,F831)*10^6</f>
        <v>-0.44053693654699411</v>
      </c>
      <c r="J911" s="192">
        <f>(1.25*E911+1.5*F911+1.8*IF(1.25*E911+1.5*F911&gt;=0,G911,H911))/2/M831/IF(B126="Positive",D831,F831)*10^6</f>
        <v>14.900910477510955</v>
      </c>
      <c r="K911" s="192">
        <f>I911+J911</f>
        <v>14.46037354096396</v>
      </c>
      <c r="L911" s="194">
        <f>SQRT(1-(K911/INPUT!AO17)^2)</f>
        <v>0.999275698902602</v>
      </c>
      <c r="M911" s="4"/>
      <c r="N911" s="4"/>
    </row>
    <row r="912">
      <c r="A912" s="187">
        <f>A832</f>
        <v>101</v>
      </c>
      <c r="B912" s="191">
        <f>INPUT!AW18</f>
        <v>-15.450687251974125</v>
      </c>
      <c r="C912" s="191">
        <f>INPUT!AX18</f>
        <v>0.0077810315162377564</v>
      </c>
      <c r="D912" s="191">
        <f>INPUT!AY18</f>
        <v>-33.358852623308422</v>
      </c>
      <c r="E912" s="191">
        <f>INPUT!CB18</f>
        <v>681.48636646994623</v>
      </c>
      <c r="F912" s="191">
        <f>INPUT!CC18</f>
        <v>-30.995046428479881</v>
      </c>
      <c r="G912" s="191">
        <f>INPUT!CD18</f>
        <v>753.41665672307568</v>
      </c>
      <c r="H912" s="191">
        <f>INPUT!CE18</f>
        <v>-2107.9034132057982</v>
      </c>
      <c r="I912" s="192">
        <f>1.25*(B912+C912+D912)/2/L832/IF(B127="Positive",D832,F832)*10^6</f>
        <v>-0.44053693654699411</v>
      </c>
      <c r="J912" s="192">
        <f>(1.25*E912+1.5*F912+1.8*IF(1.25*E912+1.5*F912&gt;=0,G912,H912))/2/M832/IF(B127="Positive",D832,F832)*10^6</f>
        <v>14.900910477510955</v>
      </c>
      <c r="K912" s="192">
        <f>I912+J912</f>
        <v>14.46037354096396</v>
      </c>
      <c r="L912" s="194">
        <f>SQRT(1-(K912/INPUT!AO18)^2)</f>
        <v>0.999275698902602</v>
      </c>
      <c r="M912" s="4"/>
      <c r="N912" s="4"/>
    </row>
    <row r="913">
      <c r="A913" s="187">
        <f>A833</f>
        <v>101</v>
      </c>
      <c r="B913" s="191">
        <f>INPUT!AW19</f>
        <v>-15.450687251974125</v>
      </c>
      <c r="C913" s="191">
        <f>INPUT!AX19</f>
        <v>0.0077810315162377564</v>
      </c>
      <c r="D913" s="191">
        <f>INPUT!AY19</f>
        <v>-33.358852623308422</v>
      </c>
      <c r="E913" s="191">
        <f>INPUT!CB19</f>
        <v>681.48636646994623</v>
      </c>
      <c r="F913" s="191">
        <f>INPUT!CC19</f>
        <v>-30.995046428479881</v>
      </c>
      <c r="G913" s="191">
        <f>INPUT!CD19</f>
        <v>753.41665672307568</v>
      </c>
      <c r="H913" s="191">
        <f>INPUT!CE19</f>
        <v>-2107.9034132057982</v>
      </c>
      <c r="I913" s="192">
        <f>1.25*(B913+C913+D913)/2/L833/IF(B128="Positive",D833,F833)*10^6</f>
        <v>-0.44053693654699411</v>
      </c>
      <c r="J913" s="192">
        <f>(1.25*E913+1.5*F913+1.8*IF(1.25*E913+1.5*F913&gt;=0,G913,H913))/2/M833/IF(B128="Positive",D833,F833)*10^6</f>
        <v>14.900910477510955</v>
      </c>
      <c r="K913" s="192">
        <f>I913+J913</f>
        <v>14.46037354096396</v>
      </c>
      <c r="L913" s="194">
        <f>SQRT(1-(K913/INPUT!AO19)^2)</f>
        <v>0.999275698902602</v>
      </c>
      <c r="M913" s="4"/>
      <c r="N913" s="4"/>
    </row>
    <row r="914">
      <c r="A914" s="187">
        <f>A834</f>
        <v>101</v>
      </c>
      <c r="B914" s="191">
        <f>INPUT!AW20</f>
        <v>-15.450687251974125</v>
      </c>
      <c r="C914" s="191">
        <f>INPUT!AX20</f>
        <v>0.0077810315162377564</v>
      </c>
      <c r="D914" s="191">
        <f>INPUT!AY20</f>
        <v>-33.358852623308422</v>
      </c>
      <c r="E914" s="191">
        <f>INPUT!CB20</f>
        <v>681.48636646994623</v>
      </c>
      <c r="F914" s="191">
        <f>INPUT!CC20</f>
        <v>-30.995046428479881</v>
      </c>
      <c r="G914" s="191">
        <f>INPUT!CD20</f>
        <v>753.41665672307568</v>
      </c>
      <c r="H914" s="191">
        <f>INPUT!CE20</f>
        <v>-2107.9034132057982</v>
      </c>
      <c r="I914" s="192">
        <f>1.25*(B914+C914+D914)/2/L834/IF(B129="Positive",D834,F834)*10^6</f>
        <v>-0.44053693654699411</v>
      </c>
      <c r="J914" s="192">
        <f>(1.25*E914+1.5*F914+1.8*IF(1.25*E914+1.5*F914&gt;=0,G914,H914))/2/M834/IF(B129="Positive",D834,F834)*10^6</f>
        <v>14.900910477510955</v>
      </c>
      <c r="K914" s="192">
        <f>I914+J914</f>
        <v>14.46037354096396</v>
      </c>
      <c r="L914" s="194">
        <f>SQRT(1-(K914/INPUT!AO20)^2)</f>
        <v>0.999275698902602</v>
      </c>
      <c r="M914" s="4"/>
      <c r="N914" s="4"/>
    </row>
    <row r="915">
      <c r="A915" s="187">
        <f>A835</f>
        <v>101</v>
      </c>
      <c r="B915" s="191">
        <f>INPUT!AW21</f>
        <v>-15.450687251974125</v>
      </c>
      <c r="C915" s="191">
        <f>INPUT!AX21</f>
        <v>0.0077810315162377564</v>
      </c>
      <c r="D915" s="191">
        <f>INPUT!AY21</f>
        <v>-33.358852623308422</v>
      </c>
      <c r="E915" s="191">
        <f>INPUT!CB21</f>
        <v>681.48636646994623</v>
      </c>
      <c r="F915" s="191">
        <f>INPUT!CC21</f>
        <v>-30.995046428479881</v>
      </c>
      <c r="G915" s="191">
        <f>INPUT!CD21</f>
        <v>753.41665672307568</v>
      </c>
      <c r="H915" s="191">
        <f>INPUT!CE21</f>
        <v>-2107.9034132057982</v>
      </c>
      <c r="I915" s="192">
        <f>1.25*(B915+C915+D915)/2/L835/IF(B130="Positive",D835,F835)*10^6</f>
        <v>-0.44053693654699411</v>
      </c>
      <c r="J915" s="192">
        <f>(1.25*E915+1.5*F915+1.8*IF(1.25*E915+1.5*F915&gt;=0,G915,H915))/2/M835/IF(B130="Positive",D835,F835)*10^6</f>
        <v>14.900910477510955</v>
      </c>
      <c r="K915" s="192">
        <f>I915+J915</f>
        <v>14.46037354096396</v>
      </c>
      <c r="L915" s="194">
        <f>SQRT(1-(K915/INPUT!AO21)^2)</f>
        <v>0.999275698902602</v>
      </c>
      <c r="M915" s="4"/>
      <c r="N915" s="4"/>
    </row>
    <row r="916">
      <c r="A916" s="187">
        <f>A836</f>
        <v>101</v>
      </c>
      <c r="B916" s="191">
        <f>INPUT!AW22</f>
        <v>-15.450687251974125</v>
      </c>
      <c r="C916" s="191">
        <f>INPUT!AX22</f>
        <v>0.0077810315162377564</v>
      </c>
      <c r="D916" s="191">
        <f>INPUT!AY22</f>
        <v>-33.358852623308422</v>
      </c>
      <c r="E916" s="191">
        <f>INPUT!CB22</f>
        <v>681.48636646994623</v>
      </c>
      <c r="F916" s="191">
        <f>INPUT!CC22</f>
        <v>-30.995046428479881</v>
      </c>
      <c r="G916" s="191">
        <f>INPUT!CD22</f>
        <v>753.41665672307568</v>
      </c>
      <c r="H916" s="191">
        <f>INPUT!CE22</f>
        <v>-2107.9034132057982</v>
      </c>
      <c r="I916" s="192">
        <f>1.25*(B916+C916+D916)/2/L836/IF(B131="Positive",D836,F836)*10^6</f>
        <v>-0.44053693654699411</v>
      </c>
      <c r="J916" s="192">
        <f>(1.25*E916+1.5*F916+1.8*IF(1.25*E916+1.5*F916&gt;=0,G916,H916))/2/M836/IF(B131="Positive",D836,F836)*10^6</f>
        <v>14.900910477510955</v>
      </c>
      <c r="K916" s="192">
        <f>I916+J916</f>
        <v>14.46037354096396</v>
      </c>
      <c r="L916" s="194">
        <f>SQRT(1-(K916/INPUT!AO22)^2)</f>
        <v>0.999275698902602</v>
      </c>
      <c r="M916" s="4"/>
      <c r="N916" s="4"/>
    </row>
    <row r="917">
      <c r="A917" s="187">
        <f>A837</f>
        <v>101</v>
      </c>
      <c r="B917" s="191">
        <f>INPUT!AW23</f>
        <v>-15.450687251974125</v>
      </c>
      <c r="C917" s="191">
        <f>INPUT!AX23</f>
        <v>0.0077810315162377564</v>
      </c>
      <c r="D917" s="191">
        <f>INPUT!AY23</f>
        <v>-33.358852623308422</v>
      </c>
      <c r="E917" s="191">
        <f>INPUT!CB23</f>
        <v>681.48636646994623</v>
      </c>
      <c r="F917" s="191">
        <f>INPUT!CC23</f>
        <v>-30.995046428479881</v>
      </c>
      <c r="G917" s="191">
        <f>INPUT!CD23</f>
        <v>753.41665672307568</v>
      </c>
      <c r="H917" s="191">
        <f>INPUT!CE23</f>
        <v>-2107.9034132057982</v>
      </c>
      <c r="I917" s="192">
        <f>1.25*(B917+C917+D917)/2/L837/IF(B132="Positive",D837,F837)*10^6</f>
        <v>-0.44053693654699411</v>
      </c>
      <c r="J917" s="192">
        <f>(1.25*E917+1.5*F917+1.8*IF(1.25*E917+1.5*F917&gt;=0,G917,H917))/2/M837/IF(B132="Positive",D837,F837)*10^6</f>
        <v>14.900910477510955</v>
      </c>
      <c r="K917" s="192">
        <f>I917+J917</f>
        <v>14.46037354096396</v>
      </c>
      <c r="L917" s="194">
        <f>SQRT(1-(K917/INPUT!AO23)^2)</f>
        <v>0.999275698902602</v>
      </c>
      <c r="M917" s="4"/>
      <c r="N917" s="4"/>
    </row>
    <row r="918">
      <c r="A918" s="187">
        <f>A838</f>
        <v>101</v>
      </c>
      <c r="B918" s="191">
        <f>INPUT!AW24</f>
        <v>-15.450687251974125</v>
      </c>
      <c r="C918" s="191">
        <f>INPUT!AX24</f>
        <v>0.0077810315162377564</v>
      </c>
      <c r="D918" s="191">
        <f>INPUT!AY24</f>
        <v>-33.358852623308422</v>
      </c>
      <c r="E918" s="191">
        <f>INPUT!CB24</f>
        <v>681.48636646994623</v>
      </c>
      <c r="F918" s="191">
        <f>INPUT!CC24</f>
        <v>-30.995046428479881</v>
      </c>
      <c r="G918" s="191">
        <f>INPUT!CD24</f>
        <v>753.41665672307568</v>
      </c>
      <c r="H918" s="191">
        <f>INPUT!CE24</f>
        <v>-2107.9034132057982</v>
      </c>
      <c r="I918" s="192">
        <f>1.25*(B918+C918+D918)/2/L838/IF(B133="Positive",D838,F838)*10^6</f>
        <v>-0.44053693654699411</v>
      </c>
      <c r="J918" s="192">
        <f>(1.25*E918+1.5*F918+1.8*IF(1.25*E918+1.5*F918&gt;=0,G918,H918))/2/M838/IF(B133="Positive",D838,F838)*10^6</f>
        <v>14.900910477510955</v>
      </c>
      <c r="K918" s="192">
        <f>I918+J918</f>
        <v>14.46037354096396</v>
      </c>
      <c r="L918" s="194">
        <f>SQRT(1-(K918/INPUT!AO24)^2)</f>
        <v>0.999275698902602</v>
      </c>
      <c r="M918" s="4"/>
      <c r="N918" s="4"/>
    </row>
    <row r="919">
      <c r="A919" s="187">
        <f>A839</f>
        <v>101</v>
      </c>
      <c r="B919" s="191">
        <f>INPUT!AW25</f>
        <v>-15.450687251974125</v>
      </c>
      <c r="C919" s="191">
        <f>INPUT!AX25</f>
        <v>0.0077810315162377564</v>
      </c>
      <c r="D919" s="191">
        <f>INPUT!AY25</f>
        <v>-33.358852623308422</v>
      </c>
      <c r="E919" s="191">
        <f>INPUT!CB25</f>
        <v>681.48636646994623</v>
      </c>
      <c r="F919" s="191">
        <f>INPUT!CC25</f>
        <v>-30.995046428479881</v>
      </c>
      <c r="G919" s="191">
        <f>INPUT!CD25</f>
        <v>753.41665672307568</v>
      </c>
      <c r="H919" s="191">
        <f>INPUT!CE25</f>
        <v>-2107.9034132057982</v>
      </c>
      <c r="I919" s="192">
        <f>1.25*(B919+C919+D919)/2/L839/IF(B134="Positive",D839,F839)*10^6</f>
        <v>-0.44053693654699411</v>
      </c>
      <c r="J919" s="192">
        <f>(1.25*E919+1.5*F919+1.8*IF(1.25*E919+1.5*F919&gt;=0,G919,H919))/2/M839/IF(B134="Positive",D839,F839)*10^6</f>
        <v>14.900910477510955</v>
      </c>
      <c r="K919" s="192">
        <f>I919+J919</f>
        <v>14.46037354096396</v>
      </c>
      <c r="L919" s="194">
        <f>SQRT(1-(K919/INPUT!AO25)^2)</f>
        <v>0.999275698902602</v>
      </c>
      <c r="M919" s="4"/>
      <c r="N919" s="4"/>
    </row>
    <row r="920">
      <c r="A920" s="187">
        <f>A840</f>
        <v>101</v>
      </c>
      <c r="B920" s="191">
        <f>INPUT!AW26</f>
        <v>-15.450687251974125</v>
      </c>
      <c r="C920" s="191">
        <f>INPUT!AX26</f>
        <v>0.0077810315162377564</v>
      </c>
      <c r="D920" s="191">
        <f>INPUT!AY26</f>
        <v>-33.358852623308422</v>
      </c>
      <c r="E920" s="191">
        <f>INPUT!CB26</f>
        <v>681.48636646994623</v>
      </c>
      <c r="F920" s="191">
        <f>INPUT!CC26</f>
        <v>-30.995046428479881</v>
      </c>
      <c r="G920" s="191">
        <f>INPUT!CD26</f>
        <v>753.41665672307568</v>
      </c>
      <c r="H920" s="191">
        <f>INPUT!CE26</f>
        <v>-2107.9034132057982</v>
      </c>
      <c r="I920" s="192">
        <f>1.25*(B920+C920+D920)/2/L840/IF(B135="Positive",D840,F840)*10^6</f>
        <v>-0.44053693654699411</v>
      </c>
      <c r="J920" s="192">
        <f>(1.25*E920+1.5*F920+1.8*IF(1.25*E920+1.5*F920&gt;=0,G920,H920))/2/M840/IF(B135="Positive",D840,F840)*10^6</f>
        <v>14.900910477510955</v>
      </c>
      <c r="K920" s="192">
        <f>I920+J920</f>
        <v>14.46037354096396</v>
      </c>
      <c r="L920" s="194">
        <f>SQRT(1-(K920/INPUT!AO26)^2)</f>
        <v>0.999275698902602</v>
      </c>
      <c r="M920" s="4"/>
      <c r="N920" s="4"/>
    </row>
    <row r="921">
      <c r="A921" s="187">
        <f>A841</f>
        <v>101</v>
      </c>
      <c r="B921" s="191">
        <f>INPUT!AW27</f>
        <v>-15.450687251974125</v>
      </c>
      <c r="C921" s="191">
        <f>INPUT!AX27</f>
        <v>0.0077810315162377564</v>
      </c>
      <c r="D921" s="191">
        <f>INPUT!AY27</f>
        <v>-33.358852623308422</v>
      </c>
      <c r="E921" s="191">
        <f>INPUT!CB27</f>
        <v>681.48636646994623</v>
      </c>
      <c r="F921" s="191">
        <f>INPUT!CC27</f>
        <v>-30.995046428479881</v>
      </c>
      <c r="G921" s="191">
        <f>INPUT!CD27</f>
        <v>753.41665672307568</v>
      </c>
      <c r="H921" s="191">
        <f>INPUT!CE27</f>
        <v>-2107.9034132057982</v>
      </c>
      <c r="I921" s="192">
        <f>1.25*(B921+C921+D921)/2/L841/IF(B136="Positive",D841,F841)*10^6</f>
        <v>-0.44053693654699411</v>
      </c>
      <c r="J921" s="192">
        <f>(1.25*E921+1.5*F921+1.8*IF(1.25*E921+1.5*F921&gt;=0,G921,H921))/2/M841/IF(B136="Positive",D841,F841)*10^6</f>
        <v>14.900910477510955</v>
      </c>
      <c r="K921" s="192">
        <f>I921+J921</f>
        <v>14.46037354096396</v>
      </c>
      <c r="L921" s="194">
        <f>SQRT(1-(K921/INPUT!AO27)^2)</f>
        <v>0.999275698902602</v>
      </c>
      <c r="M921" s="4"/>
      <c r="N921" s="4"/>
    </row>
    <row r="922">
      <c r="A922" s="187">
        <f>A842</f>
        <v>101</v>
      </c>
      <c r="B922" s="191">
        <f>INPUT!AW28</f>
        <v>-15.450687251974125</v>
      </c>
      <c r="C922" s="191">
        <f>INPUT!AX28</f>
        <v>0.0077810315162377564</v>
      </c>
      <c r="D922" s="191">
        <f>INPUT!AY28</f>
        <v>-33.358852623308422</v>
      </c>
      <c r="E922" s="191">
        <f>INPUT!CB28</f>
        <v>681.48636646994623</v>
      </c>
      <c r="F922" s="191">
        <f>INPUT!CC28</f>
        <v>-30.995046428479881</v>
      </c>
      <c r="G922" s="191">
        <f>INPUT!CD28</f>
        <v>753.41665672307568</v>
      </c>
      <c r="H922" s="191">
        <f>INPUT!CE28</f>
        <v>-2107.9034132057982</v>
      </c>
      <c r="I922" s="192">
        <f>1.25*(B922+C922+D922)/2/L842/IF(B137="Positive",D842,F842)*10^6</f>
        <v>-0.44053693654699411</v>
      </c>
      <c r="J922" s="192">
        <f>(1.25*E922+1.5*F922+1.8*IF(1.25*E922+1.5*F922&gt;=0,G922,H922))/2/M842/IF(B137="Positive",D842,F842)*10^6</f>
        <v>14.900910477510955</v>
      </c>
      <c r="K922" s="192">
        <f>I922+J922</f>
        <v>14.46037354096396</v>
      </c>
      <c r="L922" s="194">
        <f>SQRT(1-(K922/INPUT!AO28)^2)</f>
        <v>0.999275698902602</v>
      </c>
      <c r="M922" s="4"/>
      <c r="N922" s="4"/>
    </row>
    <row r="923">
      <c r="A923" s="187">
        <f>A843</f>
        <v>101</v>
      </c>
      <c r="B923" s="191">
        <f>INPUT!AW29</f>
        <v>-15.450687251974125</v>
      </c>
      <c r="C923" s="191">
        <f>INPUT!AX29</f>
        <v>0.0077810315162377564</v>
      </c>
      <c r="D923" s="191">
        <f>INPUT!AY29</f>
        <v>-33.358852623308422</v>
      </c>
      <c r="E923" s="191">
        <f>INPUT!CB29</f>
        <v>681.48636646994623</v>
      </c>
      <c r="F923" s="191">
        <f>INPUT!CC29</f>
        <v>-30.995046428479881</v>
      </c>
      <c r="G923" s="191">
        <f>INPUT!CD29</f>
        <v>753.41665672307568</v>
      </c>
      <c r="H923" s="191">
        <f>INPUT!CE29</f>
        <v>-2107.9034132057982</v>
      </c>
      <c r="I923" s="192">
        <f>1.25*(B923+C923+D923)/2/L843/IF(B138="Positive",D843,F843)*10^6</f>
        <v>-0.44053693654699411</v>
      </c>
      <c r="J923" s="192">
        <f>(1.25*E923+1.5*F923+1.8*IF(1.25*E923+1.5*F923&gt;=0,G923,H923))/2/M843/IF(B138="Positive",D843,F843)*10^6</f>
        <v>14.900910477510955</v>
      </c>
      <c r="K923" s="192">
        <f>I923+J923</f>
        <v>14.46037354096396</v>
      </c>
      <c r="L923" s="194">
        <f>SQRT(1-(K923/INPUT!AO29)^2)</f>
        <v>0.999275698902602</v>
      </c>
      <c r="M923" s="4"/>
      <c r="N923" s="4"/>
    </row>
    <row r="924">
      <c r="A924" s="187">
        <f>A844</f>
        <v>101</v>
      </c>
      <c r="B924" s="191">
        <f>INPUT!AW30</f>
        <v>-15.450687251974125</v>
      </c>
      <c r="C924" s="191">
        <f>INPUT!AX30</f>
        <v>0.0077810315162377564</v>
      </c>
      <c r="D924" s="191">
        <f>INPUT!AY30</f>
        <v>-33.358852623308422</v>
      </c>
      <c r="E924" s="191">
        <f>INPUT!CB30</f>
        <v>681.48636646994623</v>
      </c>
      <c r="F924" s="191">
        <f>INPUT!CC30</f>
        <v>-30.995046428479881</v>
      </c>
      <c r="G924" s="191">
        <f>INPUT!CD30</f>
        <v>753.41665672307568</v>
      </c>
      <c r="H924" s="191">
        <f>INPUT!CE30</f>
        <v>-2107.9034132057982</v>
      </c>
      <c r="I924" s="192">
        <f>1.25*(B924+C924+D924)/2/L844/IF(B139="Positive",D844,F844)*10^6</f>
        <v>-0.44053693654699411</v>
      </c>
      <c r="J924" s="192">
        <f>(1.25*E924+1.5*F924+1.8*IF(1.25*E924+1.5*F924&gt;=0,G924,H924))/2/M844/IF(B139="Positive",D844,F844)*10^6</f>
        <v>14.900910477510955</v>
      </c>
      <c r="K924" s="192">
        <f>I924+J924</f>
        <v>14.46037354096396</v>
      </c>
      <c r="L924" s="194">
        <f>SQRT(1-(K924/INPUT!AO30)^2)</f>
        <v>0.999275698902602</v>
      </c>
      <c r="M924" s="4"/>
      <c r="N924" s="4"/>
    </row>
    <row r="925">
      <c r="A925" s="187">
        <f>A845</f>
        <v>101</v>
      </c>
      <c r="B925" s="191">
        <f>INPUT!AW31</f>
        <v>-15.450687251974125</v>
      </c>
      <c r="C925" s="191">
        <f>INPUT!AX31</f>
        <v>0.0077810315162377564</v>
      </c>
      <c r="D925" s="191">
        <f>INPUT!AY31</f>
        <v>-33.358852623308422</v>
      </c>
      <c r="E925" s="191">
        <f>INPUT!CB31</f>
        <v>681.48636646994623</v>
      </c>
      <c r="F925" s="191">
        <f>INPUT!CC31</f>
        <v>-30.995046428479881</v>
      </c>
      <c r="G925" s="191">
        <f>INPUT!CD31</f>
        <v>753.41665672307568</v>
      </c>
      <c r="H925" s="191">
        <f>INPUT!CE31</f>
        <v>-2107.9034132057982</v>
      </c>
      <c r="I925" s="192">
        <f>1.25*(B925+C925+D925)/2/L845/IF(B140="Positive",D845,F845)*10^6</f>
        <v>-0.44053693654699411</v>
      </c>
      <c r="J925" s="192">
        <f>(1.25*E925+1.5*F925+1.8*IF(1.25*E925+1.5*F925&gt;=0,G925,H925))/2/M845/IF(B140="Positive",D845,F845)*10^6</f>
        <v>14.900910477510955</v>
      </c>
      <c r="K925" s="192">
        <f>I925+J925</f>
        <v>14.46037354096396</v>
      </c>
      <c r="L925" s="194">
        <f>SQRT(1-(K925/INPUT!AO31)^2)</f>
        <v>0.999275698902602</v>
      </c>
      <c r="M925" s="4"/>
      <c r="N925" s="4"/>
    </row>
    <row r="926">
      <c r="A926" s="187">
        <f>A846</f>
        <v>101</v>
      </c>
      <c r="B926" s="191">
        <f>INPUT!AW32</f>
        <v>-15.450687251974125</v>
      </c>
      <c r="C926" s="191">
        <f>INPUT!AX32</f>
        <v>0.0077810315162377564</v>
      </c>
      <c r="D926" s="191">
        <f>INPUT!AY32</f>
        <v>-33.358852623308422</v>
      </c>
      <c r="E926" s="191">
        <f>INPUT!CB32</f>
        <v>681.48636646994623</v>
      </c>
      <c r="F926" s="191">
        <f>INPUT!CC32</f>
        <v>-30.995046428479881</v>
      </c>
      <c r="G926" s="191">
        <f>INPUT!CD32</f>
        <v>753.41665672307568</v>
      </c>
      <c r="H926" s="191">
        <f>INPUT!CE32</f>
        <v>-2107.9034132057982</v>
      </c>
      <c r="I926" s="192">
        <f>1.25*(B926+C926+D926)/2/L846/IF(B141="Positive",D846,F846)*10^6</f>
        <v>-0.44053693654699411</v>
      </c>
      <c r="J926" s="192">
        <f>(1.25*E926+1.5*F926+1.8*IF(1.25*E926+1.5*F926&gt;=0,G926,H926))/2/M846/IF(B141="Positive",D846,F846)*10^6</f>
        <v>14.900910477510955</v>
      </c>
      <c r="K926" s="192">
        <f>I926+J926</f>
        <v>14.46037354096396</v>
      </c>
      <c r="L926" s="194">
        <f>SQRT(1-(K926/INPUT!AO32)^2)</f>
        <v>0.999275698902602</v>
      </c>
      <c r="M926" s="4"/>
      <c r="N926" s="4"/>
    </row>
    <row r="927">
      <c r="A927" s="187">
        <f>A847</f>
        <v>101</v>
      </c>
      <c r="B927" s="191">
        <f>INPUT!AW33</f>
        <v>-15.450687251974125</v>
      </c>
      <c r="C927" s="191">
        <f>INPUT!AX33</f>
        <v>0.0077810315162377564</v>
      </c>
      <c r="D927" s="191">
        <f>INPUT!AY33</f>
        <v>-33.358852623308422</v>
      </c>
      <c r="E927" s="191">
        <f>INPUT!CB33</f>
        <v>681.48636646994623</v>
      </c>
      <c r="F927" s="191">
        <f>INPUT!CC33</f>
        <v>-30.995046428479881</v>
      </c>
      <c r="G927" s="191">
        <f>INPUT!CD33</f>
        <v>753.41665672307568</v>
      </c>
      <c r="H927" s="191">
        <f>INPUT!CE33</f>
        <v>-2107.9034132057982</v>
      </c>
      <c r="I927" s="192">
        <f>1.25*(B927+C927+D927)/2/L847/IF(B142="Positive",D847,F847)*10^6</f>
        <v>-0.44053693654699411</v>
      </c>
      <c r="J927" s="192">
        <f>(1.25*E927+1.5*F927+1.8*IF(1.25*E927+1.5*F927&gt;=0,G927,H927))/2/M847/IF(B142="Positive",D847,F847)*10^6</f>
        <v>14.900910477510955</v>
      </c>
      <c r="K927" s="192">
        <f>I927+J927</f>
        <v>14.46037354096396</v>
      </c>
      <c r="L927" s="194">
        <f>SQRT(1-(K927/INPUT!AO33)^2)</f>
        <v>0.999275698902602</v>
      </c>
      <c r="M927" s="4"/>
      <c r="N927" s="4"/>
    </row>
    <row r="928">
      <c r="A928" s="187">
        <f>A848</f>
        <v>101</v>
      </c>
      <c r="B928" s="191">
        <f>INPUT!AW34</f>
        <v>-15.450687251974125</v>
      </c>
      <c r="C928" s="191">
        <f>INPUT!AX34</f>
        <v>0.0077810315162377564</v>
      </c>
      <c r="D928" s="191">
        <f>INPUT!AY34</f>
        <v>-33.358852623308422</v>
      </c>
      <c r="E928" s="191">
        <f>INPUT!CB34</f>
        <v>681.48636646994623</v>
      </c>
      <c r="F928" s="191">
        <f>INPUT!CC34</f>
        <v>-30.995046428479881</v>
      </c>
      <c r="G928" s="191">
        <f>INPUT!CD34</f>
        <v>753.41665672307568</v>
      </c>
      <c r="H928" s="191">
        <f>INPUT!CE34</f>
        <v>-2107.9034132057982</v>
      </c>
      <c r="I928" s="192">
        <f>1.25*(B928+C928+D928)/2/L848/IF(B143="Positive",D848,F848)*10^6</f>
        <v>-0.44053693654699411</v>
      </c>
      <c r="J928" s="192">
        <f>(1.25*E928+1.5*F928+1.8*IF(1.25*E928+1.5*F928&gt;=0,G928,H928))/2/M848/IF(B143="Positive",D848,F848)*10^6</f>
        <v>14.900910477510955</v>
      </c>
      <c r="K928" s="192">
        <f>I928+J928</f>
        <v>14.46037354096396</v>
      </c>
      <c r="L928" s="194">
        <f>SQRT(1-(K928/INPUT!AO34)^2)</f>
        <v>0.999275698902602</v>
      </c>
      <c r="M928" s="4"/>
      <c r="N928" s="4"/>
    </row>
    <row r="929">
      <c r="A929" s="187">
        <f>A849</f>
        <v>101</v>
      </c>
      <c r="B929" s="191">
        <f>INPUT!AW35</f>
        <v>-15.450687251974125</v>
      </c>
      <c r="C929" s="191">
        <f>INPUT!AX35</f>
        <v>0.0077810315162377564</v>
      </c>
      <c r="D929" s="191">
        <f>INPUT!AY35</f>
        <v>-33.358852623308422</v>
      </c>
      <c r="E929" s="191">
        <f>INPUT!CB35</f>
        <v>681.48636646994623</v>
      </c>
      <c r="F929" s="191">
        <f>INPUT!CC35</f>
        <v>-30.995046428479881</v>
      </c>
      <c r="G929" s="191">
        <f>INPUT!CD35</f>
        <v>753.41665672307568</v>
      </c>
      <c r="H929" s="191">
        <f>INPUT!CE35</f>
        <v>-2107.9034132057982</v>
      </c>
      <c r="I929" s="192">
        <f>1.25*(B929+C929+D929)/2/L849/IF(B144="Positive",D849,F849)*10^6</f>
        <v>-0.44053693654699411</v>
      </c>
      <c r="J929" s="192">
        <f>(1.25*E929+1.5*F929+1.8*IF(1.25*E929+1.5*F929&gt;=0,G929,H929))/2/M849/IF(B144="Positive",D849,F849)*10^6</f>
        <v>14.900910477510955</v>
      </c>
      <c r="K929" s="192">
        <f>I929+J929</f>
        <v>14.46037354096396</v>
      </c>
      <c r="L929" s="194">
        <f>SQRT(1-(K929/INPUT!AO35)^2)</f>
        <v>0.999275698902602</v>
      </c>
      <c r="M929" s="4"/>
      <c r="N929" s="4"/>
    </row>
    <row r="930">
      <c r="A930" s="187">
        <f>A850</f>
        <v>101</v>
      </c>
      <c r="B930" s="191">
        <f>INPUT!AW36</f>
        <v>-15.450687251974125</v>
      </c>
      <c r="C930" s="191">
        <f>INPUT!AX36</f>
        <v>0.0077810315162377564</v>
      </c>
      <c r="D930" s="191">
        <f>INPUT!AY36</f>
        <v>-33.358852623308422</v>
      </c>
      <c r="E930" s="191">
        <f>INPUT!CB36</f>
        <v>681.48636646994623</v>
      </c>
      <c r="F930" s="191">
        <f>INPUT!CC36</f>
        <v>-30.995046428479881</v>
      </c>
      <c r="G930" s="191">
        <f>INPUT!CD36</f>
        <v>753.41665672307568</v>
      </c>
      <c r="H930" s="191">
        <f>INPUT!CE36</f>
        <v>-2107.9034132057982</v>
      </c>
      <c r="I930" s="192">
        <f>1.25*(B930+C930+D930)/2/L850/IF(B145="Positive",D850,F850)*10^6</f>
        <v>-0.44053693654699411</v>
      </c>
      <c r="J930" s="192">
        <f>(1.25*E930+1.5*F930+1.8*IF(1.25*E930+1.5*F930&gt;=0,G930,H930))/2/M850/IF(B145="Positive",D850,F850)*10^6</f>
        <v>14.900910477510955</v>
      </c>
      <c r="K930" s="192">
        <f>I930+J930</f>
        <v>14.46037354096396</v>
      </c>
      <c r="L930" s="194">
        <f>SQRT(1-(K930/INPUT!AO36)^2)</f>
        <v>0.999275698902602</v>
      </c>
      <c r="M930" s="4"/>
      <c r="N930" s="4"/>
    </row>
    <row r="931">
      <c r="A931" s="187">
        <f>A851</f>
        <v>101</v>
      </c>
      <c r="B931" s="191">
        <f>INPUT!AW37</f>
        <v>-15.450687251974125</v>
      </c>
      <c r="C931" s="191">
        <f>INPUT!AX37</f>
        <v>0.0077810315162377564</v>
      </c>
      <c r="D931" s="191">
        <f>INPUT!AY37</f>
        <v>-33.358852623308422</v>
      </c>
      <c r="E931" s="191">
        <f>INPUT!CB37</f>
        <v>681.48636646994623</v>
      </c>
      <c r="F931" s="191">
        <f>INPUT!CC37</f>
        <v>-30.995046428479881</v>
      </c>
      <c r="G931" s="191">
        <f>INPUT!CD37</f>
        <v>753.41665672307568</v>
      </c>
      <c r="H931" s="191">
        <f>INPUT!CE37</f>
        <v>-2107.9034132057982</v>
      </c>
      <c r="I931" s="192">
        <f>1.25*(B931+C931+D931)/2/L851/IF(B146="Positive",D851,F851)*10^6</f>
        <v>-0.44053693654699411</v>
      </c>
      <c r="J931" s="192">
        <f>(1.25*E931+1.5*F931+1.8*IF(1.25*E931+1.5*F931&gt;=0,G931,H931))/2/M851/IF(B146="Positive",D851,F851)*10^6</f>
        <v>14.900910477510955</v>
      </c>
      <c r="K931" s="192">
        <f>I931+J931</f>
        <v>14.46037354096396</v>
      </c>
      <c r="L931" s="194">
        <f>SQRT(1-(K931/INPUT!AO37)^2)</f>
        <v>0.999275698902602</v>
      </c>
      <c r="M931" s="4"/>
      <c r="N931" s="4"/>
    </row>
    <row r="932">
      <c r="A932" s="187">
        <f>A852</f>
        <v>101</v>
      </c>
      <c r="B932" s="191">
        <f>INPUT!AW38</f>
        <v>-15.450687251974125</v>
      </c>
      <c r="C932" s="191">
        <f>INPUT!AX38</f>
        <v>0.0077810315162377564</v>
      </c>
      <c r="D932" s="191">
        <f>INPUT!AY38</f>
        <v>-33.358852623308422</v>
      </c>
      <c r="E932" s="191">
        <f>INPUT!CB38</f>
        <v>681.48636646994623</v>
      </c>
      <c r="F932" s="191">
        <f>INPUT!CC38</f>
        <v>-30.995046428479881</v>
      </c>
      <c r="G932" s="191">
        <f>INPUT!CD38</f>
        <v>753.41665672307568</v>
      </c>
      <c r="H932" s="191">
        <f>INPUT!CE38</f>
        <v>-2107.9034132057982</v>
      </c>
      <c r="I932" s="192">
        <f>1.25*(B932+C932+D932)/2/L852/IF(B147="Positive",D852,F852)*10^6</f>
        <v>-0.44053693654699411</v>
      </c>
      <c r="J932" s="192">
        <f>(1.25*E932+1.5*F932+1.8*IF(1.25*E932+1.5*F932&gt;=0,G932,H932))/2/M852/IF(B147="Positive",D852,F852)*10^6</f>
        <v>14.900910477510955</v>
      </c>
      <c r="K932" s="192">
        <f>I932+J932</f>
        <v>14.46037354096396</v>
      </c>
      <c r="L932" s="194">
        <f>SQRT(1-(K932/INPUT!AO38)^2)</f>
        <v>0.999275698902602</v>
      </c>
      <c r="M932" s="4"/>
      <c r="N932" s="4"/>
    </row>
    <row r="933">
      <c r="A933" s="187">
        <f>A853</f>
        <v>101</v>
      </c>
      <c r="B933" s="191">
        <f>INPUT!AW39</f>
        <v>-15.450687251974125</v>
      </c>
      <c r="C933" s="191">
        <f>INPUT!AX39</f>
        <v>0.0077810315162377564</v>
      </c>
      <c r="D933" s="191">
        <f>INPUT!AY39</f>
        <v>-33.358852623308422</v>
      </c>
      <c r="E933" s="191">
        <f>INPUT!CB39</f>
        <v>681.48636646994623</v>
      </c>
      <c r="F933" s="191">
        <f>INPUT!CC39</f>
        <v>-30.995046428479881</v>
      </c>
      <c r="G933" s="191">
        <f>INPUT!CD39</f>
        <v>753.41665672307568</v>
      </c>
      <c r="H933" s="191">
        <f>INPUT!CE39</f>
        <v>-2107.9034132057982</v>
      </c>
      <c r="I933" s="192">
        <f>1.25*(B933+C933+D933)/2/L853/IF(B148="Positive",D853,F853)*10^6</f>
        <v>-0.44053693654699411</v>
      </c>
      <c r="J933" s="192">
        <f>(1.25*E933+1.5*F933+1.8*IF(1.25*E933+1.5*F933&gt;=0,G933,H933))/2/M853/IF(B148="Positive",D853,F853)*10^6</f>
        <v>14.900910477510955</v>
      </c>
      <c r="K933" s="192">
        <f>I933+J933</f>
        <v>14.46037354096396</v>
      </c>
      <c r="L933" s="194">
        <f>SQRT(1-(K933/INPUT!AO39)^2)</f>
        <v>0.999275698902602</v>
      </c>
      <c r="M933" s="4"/>
      <c r="N933" s="4"/>
    </row>
    <row r="934">
      <c r="A934" s="187">
        <f>A854</f>
        <v>101</v>
      </c>
      <c r="B934" s="191">
        <f>INPUT!AW40</f>
        <v>-15.450687251974125</v>
      </c>
      <c r="C934" s="191">
        <f>INPUT!AX40</f>
        <v>0.0077810315162377564</v>
      </c>
      <c r="D934" s="191">
        <f>INPUT!AY40</f>
        <v>-33.358852623308422</v>
      </c>
      <c r="E934" s="191">
        <f>INPUT!CB40</f>
        <v>681.48636646994623</v>
      </c>
      <c r="F934" s="191">
        <f>INPUT!CC40</f>
        <v>-30.995046428479881</v>
      </c>
      <c r="G934" s="191">
        <f>INPUT!CD40</f>
        <v>753.41665672307568</v>
      </c>
      <c r="H934" s="191">
        <f>INPUT!CE40</f>
        <v>-2107.9034132057982</v>
      </c>
      <c r="I934" s="192">
        <f>1.25*(B934+C934+D934)/2/L854/IF(B149="Positive",D854,F854)*10^6</f>
        <v>-0.44053693654699411</v>
      </c>
      <c r="J934" s="192">
        <f>(1.25*E934+1.5*F934+1.8*IF(1.25*E934+1.5*F934&gt;=0,G934,H934))/2/M854/IF(B149="Positive",D854,F854)*10^6</f>
        <v>14.900910477510955</v>
      </c>
      <c r="K934" s="192">
        <f>I934+J934</f>
        <v>14.46037354096396</v>
      </c>
      <c r="L934" s="194">
        <f>SQRT(1-(K934/INPUT!AO40)^2)</f>
        <v>0.999275698902602</v>
      </c>
      <c r="M934" s="4"/>
      <c r="N934" s="4"/>
    </row>
    <row r="935">
      <c r="A935" s="187">
        <f>A855</f>
        <v>101</v>
      </c>
      <c r="B935" s="191">
        <f>INPUT!AW41</f>
        <v>-15.450687251974125</v>
      </c>
      <c r="C935" s="191">
        <f>INPUT!AX41</f>
        <v>0.0077810315162377564</v>
      </c>
      <c r="D935" s="191">
        <f>INPUT!AY41</f>
        <v>-33.358852623308422</v>
      </c>
      <c r="E935" s="191">
        <f>INPUT!CB41</f>
        <v>681.48636646994623</v>
      </c>
      <c r="F935" s="191">
        <f>INPUT!CC41</f>
        <v>-30.995046428479881</v>
      </c>
      <c r="G935" s="191">
        <f>INPUT!CD41</f>
        <v>753.41665672307568</v>
      </c>
      <c r="H935" s="191">
        <f>INPUT!CE41</f>
        <v>-2107.9034132057982</v>
      </c>
      <c r="I935" s="192">
        <f>1.25*(B935+C935+D935)/2/L855/IF(B150="Positive",D855,F855)*10^6</f>
        <v>-0.44053693654699411</v>
      </c>
      <c r="J935" s="192">
        <f>(1.25*E935+1.5*F935+1.8*IF(1.25*E935+1.5*F935&gt;=0,G935,H935))/2/M855/IF(B150="Positive",D855,F855)*10^6</f>
        <v>14.900910477510955</v>
      </c>
      <c r="K935" s="192">
        <f>I935+J935</f>
        <v>14.46037354096396</v>
      </c>
      <c r="L935" s="194">
        <f>SQRT(1-(K935/INPUT!AO41)^2)</f>
        <v>0.999275698902602</v>
      </c>
      <c r="M935" s="4"/>
      <c r="N935" s="4"/>
    </row>
    <row r="936">
      <c r="A936" s="187">
        <f>A856</f>
        <v>101</v>
      </c>
      <c r="B936" s="191">
        <f>INPUT!AW42</f>
        <v>-15.450687251974125</v>
      </c>
      <c r="C936" s="191">
        <f>INPUT!AX42</f>
        <v>0.0077810315162377564</v>
      </c>
      <c r="D936" s="191">
        <f>INPUT!AY42</f>
        <v>-33.358852623308422</v>
      </c>
      <c r="E936" s="191">
        <f>INPUT!CB42</f>
        <v>681.48636646994623</v>
      </c>
      <c r="F936" s="191">
        <f>INPUT!CC42</f>
        <v>-30.995046428479881</v>
      </c>
      <c r="G936" s="191">
        <f>INPUT!CD42</f>
        <v>753.41665672307568</v>
      </c>
      <c r="H936" s="191">
        <f>INPUT!CE42</f>
        <v>-2107.9034132057982</v>
      </c>
      <c r="I936" s="192">
        <f>1.25*(B936+C936+D936)/2/L856/IF(B151="Positive",D856,F856)*10^6</f>
        <v>-0.44053693654699411</v>
      </c>
      <c r="J936" s="192">
        <f>(1.25*E936+1.5*F936+1.8*IF(1.25*E936+1.5*F936&gt;=0,G936,H936))/2/M856/IF(B151="Positive",D856,F856)*10^6</f>
        <v>14.900910477510955</v>
      </c>
      <c r="K936" s="192">
        <f>I936+J936</f>
        <v>14.46037354096396</v>
      </c>
      <c r="L936" s="194">
        <f>SQRT(1-(K936/INPUT!AO42)^2)</f>
        <v>0.999275698902602</v>
      </c>
      <c r="M936" s="4"/>
      <c r="N936" s="4"/>
    </row>
    <row r="937">
      <c r="A937" s="187">
        <f>A857</f>
        <v>101</v>
      </c>
      <c r="B937" s="191">
        <f>INPUT!AW43</f>
        <v>-15.450687251974125</v>
      </c>
      <c r="C937" s="191">
        <f>INPUT!AX43</f>
        <v>0.0077810315162377564</v>
      </c>
      <c r="D937" s="191">
        <f>INPUT!AY43</f>
        <v>-33.358852623308422</v>
      </c>
      <c r="E937" s="191">
        <f>INPUT!CB43</f>
        <v>681.48636646994623</v>
      </c>
      <c r="F937" s="191">
        <f>INPUT!CC43</f>
        <v>-30.995046428479881</v>
      </c>
      <c r="G937" s="191">
        <f>INPUT!CD43</f>
        <v>753.41665672307568</v>
      </c>
      <c r="H937" s="191">
        <f>INPUT!CE43</f>
        <v>-2107.9034132057982</v>
      </c>
      <c r="I937" s="192">
        <f>1.25*(B937+C937+D937)/2/L857/IF(B152="Positive",D857,F857)*10^6</f>
        <v>-0.44053693654699411</v>
      </c>
      <c r="J937" s="192">
        <f>(1.25*E937+1.5*F937+1.8*IF(1.25*E937+1.5*F937&gt;=0,G937,H937))/2/M857/IF(B152="Positive",D857,F857)*10^6</f>
        <v>14.900910477510955</v>
      </c>
      <c r="K937" s="192">
        <f>I937+J937</f>
        <v>14.46037354096396</v>
      </c>
      <c r="L937" s="194">
        <f>SQRT(1-(K937/INPUT!AO43)^2)</f>
        <v>0.999275698902602</v>
      </c>
      <c r="M937" s="4"/>
      <c r="N937" s="4"/>
    </row>
    <row r="938">
      <c r="A938" s="187">
        <f>A858</f>
        <v>101</v>
      </c>
      <c r="B938" s="191">
        <f>INPUT!AW44</f>
        <v>-15.450687251974125</v>
      </c>
      <c r="C938" s="191">
        <f>INPUT!AX44</f>
        <v>0.0077810315162377564</v>
      </c>
      <c r="D938" s="191">
        <f>INPUT!AY44</f>
        <v>-33.358852623308422</v>
      </c>
      <c r="E938" s="191">
        <f>INPUT!CB44</f>
        <v>681.48636646994623</v>
      </c>
      <c r="F938" s="191">
        <f>INPUT!CC44</f>
        <v>-30.995046428479881</v>
      </c>
      <c r="G938" s="191">
        <f>INPUT!CD44</f>
        <v>753.41665672307568</v>
      </c>
      <c r="H938" s="191">
        <f>INPUT!CE44</f>
        <v>-2107.9034132057982</v>
      </c>
      <c r="I938" s="192">
        <f>1.25*(B938+C938+D938)/2/L858/IF(B153="Positive",D858,F858)*10^6</f>
        <v>-0.44053693654699411</v>
      </c>
      <c r="J938" s="192">
        <f>(1.25*E938+1.5*F938+1.8*IF(1.25*E938+1.5*F938&gt;=0,G938,H938))/2/M858/IF(B153="Positive",D858,F858)*10^6</f>
        <v>14.900910477510955</v>
      </c>
      <c r="K938" s="192">
        <f>I938+J938</f>
        <v>14.46037354096396</v>
      </c>
      <c r="L938" s="194">
        <f>SQRT(1-(K938/INPUT!AO44)^2)</f>
        <v>0.999275698902602</v>
      </c>
      <c r="M938" s="4"/>
      <c r="N938" s="4"/>
    </row>
    <row r="939">
      <c r="A939" s="187">
        <f>A859</f>
        <v>101</v>
      </c>
      <c r="B939" s="191">
        <f>INPUT!AW45</f>
        <v>-15.450687251974125</v>
      </c>
      <c r="C939" s="191">
        <f>INPUT!AX45</f>
        <v>0.0077810315162377564</v>
      </c>
      <c r="D939" s="191">
        <f>INPUT!AY45</f>
        <v>-33.358852623308422</v>
      </c>
      <c r="E939" s="191">
        <f>INPUT!CB45</f>
        <v>681.48636646994623</v>
      </c>
      <c r="F939" s="191">
        <f>INPUT!CC45</f>
        <v>-30.995046428479881</v>
      </c>
      <c r="G939" s="191">
        <f>INPUT!CD45</f>
        <v>753.41665672307568</v>
      </c>
      <c r="H939" s="191">
        <f>INPUT!CE45</f>
        <v>-2107.9034132057982</v>
      </c>
      <c r="I939" s="192">
        <f>1.25*(B939+C939+D939)/2/L859/IF(B154="Positive",D859,F859)*10^6</f>
        <v>-0.44053693654699411</v>
      </c>
      <c r="J939" s="192">
        <f>(1.25*E939+1.5*F939+1.8*IF(1.25*E939+1.5*F939&gt;=0,G939,H939))/2/M859/IF(B154="Positive",D859,F859)*10^6</f>
        <v>14.900910477510955</v>
      </c>
      <c r="K939" s="192">
        <f>I939+J939</f>
        <v>14.46037354096396</v>
      </c>
      <c r="L939" s="194">
        <f>SQRT(1-(K939/INPUT!AO45)^2)</f>
        <v>0.999275698902602</v>
      </c>
      <c r="M939" s="4"/>
      <c r="N939" s="4"/>
    </row>
    <row r="940">
      <c r="A940" s="187">
        <f>A860</f>
        <v>101</v>
      </c>
      <c r="B940" s="191">
        <f>INPUT!AW46</f>
        <v>-15.450687251974125</v>
      </c>
      <c r="C940" s="191">
        <f>INPUT!AX46</f>
        <v>0.0077810315162377564</v>
      </c>
      <c r="D940" s="191">
        <f>INPUT!AY46</f>
        <v>-33.358852623308422</v>
      </c>
      <c r="E940" s="191">
        <f>INPUT!CB46</f>
        <v>681.48636646994623</v>
      </c>
      <c r="F940" s="191">
        <f>INPUT!CC46</f>
        <v>-30.995046428479881</v>
      </c>
      <c r="G940" s="191">
        <f>INPUT!CD46</f>
        <v>753.41665672307568</v>
      </c>
      <c r="H940" s="191">
        <f>INPUT!CE46</f>
        <v>-2107.9034132057982</v>
      </c>
      <c r="I940" s="192">
        <f>1.25*(B940+C940+D940)/2/L860/IF(B155="Positive",D860,F860)*10^6</f>
        <v>-0.44053693654699411</v>
      </c>
      <c r="J940" s="192">
        <f>(1.25*E940+1.5*F940+1.8*IF(1.25*E940+1.5*F940&gt;=0,G940,H940))/2/M860/IF(B155="Positive",D860,F860)*10^6</f>
        <v>14.900910477510955</v>
      </c>
      <c r="K940" s="192">
        <f>I940+J940</f>
        <v>14.46037354096396</v>
      </c>
      <c r="L940" s="194">
        <f>SQRT(1-(K940/INPUT!AO46)^2)</f>
        <v>0.999275698902602</v>
      </c>
      <c r="M940" s="4"/>
      <c r="N940" s="4"/>
    </row>
    <row r="941">
      <c r="A941" s="187">
        <f>A861</f>
        <v>101</v>
      </c>
      <c r="B941" s="191">
        <f>INPUT!AW47</f>
        <v>-15.450687251974125</v>
      </c>
      <c r="C941" s="191">
        <f>INPUT!AX47</f>
        <v>0.0077810315162377564</v>
      </c>
      <c r="D941" s="191">
        <f>INPUT!AY47</f>
        <v>-33.358852623308422</v>
      </c>
      <c r="E941" s="191">
        <f>INPUT!CB47</f>
        <v>681.48636646994623</v>
      </c>
      <c r="F941" s="191">
        <f>INPUT!CC47</f>
        <v>-30.995046428479881</v>
      </c>
      <c r="G941" s="191">
        <f>INPUT!CD47</f>
        <v>753.41665672307568</v>
      </c>
      <c r="H941" s="191">
        <f>INPUT!CE47</f>
        <v>-2107.9034132057982</v>
      </c>
      <c r="I941" s="192">
        <f>1.25*(B941+C941+D941)/2/L861/IF(B156="Positive",D861,F861)*10^6</f>
        <v>-0.44053693654699411</v>
      </c>
      <c r="J941" s="192">
        <f>(1.25*E941+1.5*F941+1.8*IF(1.25*E941+1.5*F941&gt;=0,G941,H941))/2/M861/IF(B156="Positive",D861,F861)*10^6</f>
        <v>14.900910477510955</v>
      </c>
      <c r="K941" s="192">
        <f>I941+J941</f>
        <v>14.46037354096396</v>
      </c>
      <c r="L941" s="194">
        <f>SQRT(1-(K941/INPUT!AO47)^2)</f>
        <v>0.999275698902602</v>
      </c>
      <c r="M941" s="4"/>
      <c r="N941" s="4"/>
    </row>
    <row r="942">
      <c r="A942" s="187">
        <f>A862</f>
        <v>101</v>
      </c>
      <c r="B942" s="191">
        <f>INPUT!AW48</f>
        <v>-15.450687251974125</v>
      </c>
      <c r="C942" s="191">
        <f>INPUT!AX48</f>
        <v>0.0077810315162377564</v>
      </c>
      <c r="D942" s="191">
        <f>INPUT!AY48</f>
        <v>-33.358852623308422</v>
      </c>
      <c r="E942" s="191">
        <f>INPUT!CB48</f>
        <v>681.48636646994623</v>
      </c>
      <c r="F942" s="191">
        <f>INPUT!CC48</f>
        <v>-30.995046428479881</v>
      </c>
      <c r="G942" s="191">
        <f>INPUT!CD48</f>
        <v>753.41665672307568</v>
      </c>
      <c r="H942" s="191">
        <f>INPUT!CE48</f>
        <v>-2107.9034132057982</v>
      </c>
      <c r="I942" s="192">
        <f>1.25*(B942+C942+D942)/2/L862/IF(B157="Positive",D862,F862)*10^6</f>
        <v>-0.44053693654699411</v>
      </c>
      <c r="J942" s="192">
        <f>(1.25*E942+1.5*F942+1.8*IF(1.25*E942+1.5*F942&gt;=0,G942,H942))/2/M862/IF(B157="Positive",D862,F862)*10^6</f>
        <v>14.900910477510955</v>
      </c>
      <c r="K942" s="192">
        <f>I942+J942</f>
        <v>14.46037354096396</v>
      </c>
      <c r="L942" s="194">
        <f>SQRT(1-(K942/INPUT!AO48)^2)</f>
        <v>0.999275698902602</v>
      </c>
      <c r="M942" s="4"/>
      <c r="N942" s="4"/>
    </row>
    <row r="943">
      <c r="A943" s="187">
        <f>A863</f>
        <v>101</v>
      </c>
      <c r="B943" s="191">
        <f>INPUT!AW49</f>
        <v>-15.450687251974125</v>
      </c>
      <c r="C943" s="191">
        <f>INPUT!AX49</f>
        <v>0.0077810315162377564</v>
      </c>
      <c r="D943" s="191">
        <f>INPUT!AY49</f>
        <v>-33.358852623308422</v>
      </c>
      <c r="E943" s="191">
        <f>INPUT!CB49</f>
        <v>681.48636646994623</v>
      </c>
      <c r="F943" s="191">
        <f>INPUT!CC49</f>
        <v>-30.995046428479881</v>
      </c>
      <c r="G943" s="191">
        <f>INPUT!CD49</f>
        <v>753.41665672307568</v>
      </c>
      <c r="H943" s="191">
        <f>INPUT!CE49</f>
        <v>-2107.9034132057982</v>
      </c>
      <c r="I943" s="192">
        <f>1.25*(B943+C943+D943)/2/L863/IF(B158="Positive",D863,F863)*10^6</f>
        <v>-0.44053693654699411</v>
      </c>
      <c r="J943" s="192">
        <f>(1.25*E943+1.5*F943+1.8*IF(1.25*E943+1.5*F943&gt;=0,G943,H943))/2/M863/IF(B158="Positive",D863,F863)*10^6</f>
        <v>14.900910477510955</v>
      </c>
      <c r="K943" s="192">
        <f>I943+J943</f>
        <v>14.46037354096396</v>
      </c>
      <c r="L943" s="194">
        <f>SQRT(1-(K943/INPUT!AO49)^2)</f>
        <v>0.999275698902602</v>
      </c>
      <c r="M943" s="4"/>
      <c r="N943" s="4"/>
    </row>
    <row r="944">
      <c r="A944" s="187">
        <f>A864</f>
        <v>101</v>
      </c>
      <c r="B944" s="191">
        <f>INPUT!AW50</f>
        <v>-15.450687251974125</v>
      </c>
      <c r="C944" s="191">
        <f>INPUT!AX50</f>
        <v>0.0077810315162377564</v>
      </c>
      <c r="D944" s="191">
        <f>INPUT!AY50</f>
        <v>-33.358852623308422</v>
      </c>
      <c r="E944" s="191">
        <f>INPUT!CB50</f>
        <v>681.48636646994623</v>
      </c>
      <c r="F944" s="191">
        <f>INPUT!CC50</f>
        <v>-30.995046428479881</v>
      </c>
      <c r="G944" s="191">
        <f>INPUT!CD50</f>
        <v>753.41665672307568</v>
      </c>
      <c r="H944" s="191">
        <f>INPUT!CE50</f>
        <v>-2107.9034132057982</v>
      </c>
      <c r="I944" s="192">
        <f>1.25*(B944+C944+D944)/2/L864/IF(B159="Positive",D864,F864)*10^6</f>
        <v>-0.44053693654699411</v>
      </c>
      <c r="J944" s="192">
        <f>(1.25*E944+1.5*F944+1.8*IF(1.25*E944+1.5*F944&gt;=0,G944,H944))/2/M864/IF(B159="Positive",D864,F864)*10^6</f>
        <v>14.900910477510955</v>
      </c>
      <c r="K944" s="192">
        <f>I944+J944</f>
        <v>14.46037354096396</v>
      </c>
      <c r="L944" s="194">
        <f>SQRT(1-(K944/INPUT!AO50)^2)</f>
        <v>0.999275698902602</v>
      </c>
      <c r="M944" s="4"/>
      <c r="N944" s="4"/>
    </row>
    <row r="945">
      <c r="A945" s="187">
        <f>A865</f>
        <v>101</v>
      </c>
      <c r="B945" s="191">
        <f>INPUT!AW51</f>
        <v>-15.450687251974125</v>
      </c>
      <c r="C945" s="191">
        <f>INPUT!AX51</f>
        <v>0.0077810315162377564</v>
      </c>
      <c r="D945" s="191">
        <f>INPUT!AY51</f>
        <v>-33.358852623308422</v>
      </c>
      <c r="E945" s="191">
        <f>INPUT!CB51</f>
        <v>681.48636646994623</v>
      </c>
      <c r="F945" s="191">
        <f>INPUT!CC51</f>
        <v>-30.995046428479881</v>
      </c>
      <c r="G945" s="191">
        <f>INPUT!CD51</f>
        <v>753.41665672307568</v>
      </c>
      <c r="H945" s="191">
        <f>INPUT!CE51</f>
        <v>-2107.9034132057982</v>
      </c>
      <c r="I945" s="192">
        <f>1.25*(B945+C945+D945)/2/L865/IF(B160="Positive",D865,F865)*10^6</f>
        <v>-0.44053693654699411</v>
      </c>
      <c r="J945" s="192">
        <f>(1.25*E945+1.5*F945+1.8*IF(1.25*E945+1.5*F945&gt;=0,G945,H945))/2/M865/IF(B160="Positive",D865,F865)*10^6</f>
        <v>14.900910477510955</v>
      </c>
      <c r="K945" s="192">
        <f>I945+J945</f>
        <v>14.46037354096396</v>
      </c>
      <c r="L945" s="194">
        <f>SQRT(1-(K945/INPUT!AO51)^2)</f>
        <v>0.999275698902602</v>
      </c>
      <c r="M945" s="4"/>
      <c r="N945" s="4"/>
    </row>
    <row r="946">
      <c r="A946" s="187">
        <f>A866</f>
        <v>101</v>
      </c>
      <c r="B946" s="191">
        <f>INPUT!AW52</f>
        <v>-15.450687251974125</v>
      </c>
      <c r="C946" s="191">
        <f>INPUT!AX52</f>
        <v>0.0077810315162377564</v>
      </c>
      <c r="D946" s="191">
        <f>INPUT!AY52</f>
        <v>-33.358852623308422</v>
      </c>
      <c r="E946" s="191">
        <f>INPUT!CB52</f>
        <v>681.48636646994623</v>
      </c>
      <c r="F946" s="191">
        <f>INPUT!CC52</f>
        <v>-30.995046428479881</v>
      </c>
      <c r="G946" s="191">
        <f>INPUT!CD52</f>
        <v>753.41665672307568</v>
      </c>
      <c r="H946" s="191">
        <f>INPUT!CE52</f>
        <v>-2107.9034132057982</v>
      </c>
      <c r="I946" s="192">
        <f>1.25*(B946+C946+D946)/2/L866/IF(B161="Positive",D866,F866)*10^6</f>
        <v>-0.44053693654699411</v>
      </c>
      <c r="J946" s="192">
        <f>(1.25*E946+1.5*F946+1.8*IF(1.25*E946+1.5*F946&gt;=0,G946,H946))/2/M866/IF(B161="Positive",D866,F866)*10^6</f>
        <v>14.900910477510955</v>
      </c>
      <c r="K946" s="192">
        <f>I946+J946</f>
        <v>14.46037354096396</v>
      </c>
      <c r="L946" s="194">
        <f>SQRT(1-(K946/INPUT!AO52)^2)</f>
        <v>0.999275698902602</v>
      </c>
      <c r="M946" s="4"/>
      <c r="N946" s="4"/>
    </row>
    <row r="947">
      <c r="A947" s="187">
        <f>A867</f>
        <v>101</v>
      </c>
      <c r="B947" s="191">
        <f>INPUT!AW53</f>
        <v>-15.450687251974125</v>
      </c>
      <c r="C947" s="191">
        <f>INPUT!AX53</f>
        <v>0.0077810315162377564</v>
      </c>
      <c r="D947" s="191">
        <f>INPUT!AY53</f>
        <v>-33.358852623308422</v>
      </c>
      <c r="E947" s="191">
        <f>INPUT!CB53</f>
        <v>681.48636646994623</v>
      </c>
      <c r="F947" s="191">
        <f>INPUT!CC53</f>
        <v>-30.995046428479881</v>
      </c>
      <c r="G947" s="191">
        <f>INPUT!CD53</f>
        <v>753.41665672307568</v>
      </c>
      <c r="H947" s="191">
        <f>INPUT!CE53</f>
        <v>-2107.9034132057982</v>
      </c>
      <c r="I947" s="192">
        <f>1.25*(B947+C947+D947)/2/L867/IF(B162="Positive",D867,F867)*10^6</f>
        <v>-0.44053693654699411</v>
      </c>
      <c r="J947" s="192">
        <f>(1.25*E947+1.5*F947+1.8*IF(1.25*E947+1.5*F947&gt;=0,G947,H947))/2/M867/IF(B162="Positive",D867,F867)*10^6</f>
        <v>14.900910477510955</v>
      </c>
      <c r="K947" s="192">
        <f>I947+J947</f>
        <v>14.46037354096396</v>
      </c>
      <c r="L947" s="194">
        <f>SQRT(1-(K947/INPUT!AO53)^2)</f>
        <v>0.999275698902602</v>
      </c>
      <c r="M947" s="4"/>
      <c r="N947" s="4"/>
    </row>
    <row r="948">
      <c r="A948" s="187">
        <f>A868</f>
        <v>101</v>
      </c>
      <c r="B948" s="191">
        <f>INPUT!AW54</f>
        <v>-15.450687251974125</v>
      </c>
      <c r="C948" s="191">
        <f>INPUT!AX54</f>
        <v>0.0077810315162377564</v>
      </c>
      <c r="D948" s="191">
        <f>INPUT!AY54</f>
        <v>-33.358852623308422</v>
      </c>
      <c r="E948" s="191">
        <f>INPUT!CB54</f>
        <v>681.48636646994623</v>
      </c>
      <c r="F948" s="191">
        <f>INPUT!CC54</f>
        <v>-30.995046428479881</v>
      </c>
      <c r="G948" s="191">
        <f>INPUT!CD54</f>
        <v>753.41665672307568</v>
      </c>
      <c r="H948" s="191">
        <f>INPUT!CE54</f>
        <v>-2107.9034132057982</v>
      </c>
      <c r="I948" s="192">
        <f>1.25*(B948+C948+D948)/2/L868/IF(B163="Positive",D868,F868)*10^6</f>
        <v>-0.44053693654699411</v>
      </c>
      <c r="J948" s="192">
        <f>(1.25*E948+1.5*F948+1.8*IF(1.25*E948+1.5*F948&gt;=0,G948,H948))/2/M868/IF(B163="Positive",D868,F868)*10^6</f>
        <v>14.900910477510955</v>
      </c>
      <c r="K948" s="192">
        <f>I948+J948</f>
        <v>14.46037354096396</v>
      </c>
      <c r="L948" s="194">
        <f>SQRT(1-(K948/INPUT!AO54)^2)</f>
        <v>0.999275698902602</v>
      </c>
      <c r="M948" s="4"/>
      <c r="N948" s="4"/>
    </row>
    <row r="949">
      <c r="A949" s="187">
        <f>A869</f>
        <v>101</v>
      </c>
      <c r="B949" s="191">
        <f>INPUT!AW55</f>
        <v>-15.450687251974125</v>
      </c>
      <c r="C949" s="191">
        <f>INPUT!AX55</f>
        <v>0.0077810315162377564</v>
      </c>
      <c r="D949" s="191">
        <f>INPUT!AY55</f>
        <v>-33.358852623308422</v>
      </c>
      <c r="E949" s="191">
        <f>INPUT!CB55</f>
        <v>681.48636646994623</v>
      </c>
      <c r="F949" s="191">
        <f>INPUT!CC55</f>
        <v>-30.995046428479881</v>
      </c>
      <c r="G949" s="191">
        <f>INPUT!CD55</f>
        <v>753.41665672307568</v>
      </c>
      <c r="H949" s="191">
        <f>INPUT!CE55</f>
        <v>-2107.9034132057982</v>
      </c>
      <c r="I949" s="192">
        <f>1.25*(B949+C949+D949)/2/L869/IF(B164="Positive",D869,F869)*10^6</f>
        <v>-0.44053693654699411</v>
      </c>
      <c r="J949" s="192">
        <f>(1.25*E949+1.5*F949+1.8*IF(1.25*E949+1.5*F949&gt;=0,G949,H949))/2/M869/IF(B164="Positive",D869,F869)*10^6</f>
        <v>14.900910477510955</v>
      </c>
      <c r="K949" s="192">
        <f>I949+J949</f>
        <v>14.46037354096396</v>
      </c>
      <c r="L949" s="194">
        <f>SQRT(1-(K949/INPUT!AO55)^2)</f>
        <v>0.999275698902602</v>
      </c>
      <c r="M949" s="4"/>
      <c r="N949" s="4"/>
    </row>
    <row r="950">
      <c r="A950" s="187">
        <f>A870</f>
        <v>101</v>
      </c>
      <c r="B950" s="191">
        <f>INPUT!AW56</f>
        <v>-15.450687251974125</v>
      </c>
      <c r="C950" s="191">
        <f>INPUT!AX56</f>
        <v>0.0077810315162377564</v>
      </c>
      <c r="D950" s="191">
        <f>INPUT!AY56</f>
        <v>-33.358852623308422</v>
      </c>
      <c r="E950" s="191">
        <f>INPUT!CB56</f>
        <v>681.48636646994623</v>
      </c>
      <c r="F950" s="191">
        <f>INPUT!CC56</f>
        <v>-30.995046428479881</v>
      </c>
      <c r="G950" s="191">
        <f>INPUT!CD56</f>
        <v>753.41665672307568</v>
      </c>
      <c r="H950" s="191">
        <f>INPUT!CE56</f>
        <v>-2107.9034132057982</v>
      </c>
      <c r="I950" s="192">
        <f>1.25*(B950+C950+D950)/2/L870/IF(B165="Positive",D870,F870)*10^6</f>
        <v>-0.44053693654699411</v>
      </c>
      <c r="J950" s="192">
        <f>(1.25*E950+1.5*F950+1.8*IF(1.25*E950+1.5*F950&gt;=0,G950,H950))/2/M870/IF(B165="Positive",D870,F870)*10^6</f>
        <v>14.900910477510955</v>
      </c>
      <c r="K950" s="192">
        <f>I950+J950</f>
        <v>14.46037354096396</v>
      </c>
      <c r="L950" s="194">
        <f>SQRT(1-(K950/INPUT!AO56)^2)</f>
        <v>0.999275698902602</v>
      </c>
      <c r="M950" s="4"/>
      <c r="N950" s="4"/>
    </row>
    <row r="951">
      <c r="A951" s="187">
        <f>A871</f>
        <v>101</v>
      </c>
      <c r="B951" s="191">
        <f>INPUT!AW57</f>
        <v>-15.450687251974125</v>
      </c>
      <c r="C951" s="191">
        <f>INPUT!AX57</f>
        <v>0.0077810315162377564</v>
      </c>
      <c r="D951" s="191">
        <f>INPUT!AY57</f>
        <v>-33.358852623308422</v>
      </c>
      <c r="E951" s="191">
        <f>INPUT!CB57</f>
        <v>681.48636646994623</v>
      </c>
      <c r="F951" s="191">
        <f>INPUT!CC57</f>
        <v>-30.995046428479881</v>
      </c>
      <c r="G951" s="191">
        <f>INPUT!CD57</f>
        <v>753.41665672307568</v>
      </c>
      <c r="H951" s="191">
        <f>INPUT!CE57</f>
        <v>-2107.9034132057982</v>
      </c>
      <c r="I951" s="192">
        <f>1.25*(B951+C951+D951)/2/L871/IF(B166="Positive",D871,F871)*10^6</f>
        <v>-0.44053693654699411</v>
      </c>
      <c r="J951" s="192">
        <f>(1.25*E951+1.5*F951+1.8*IF(1.25*E951+1.5*F951&gt;=0,G951,H951))/2/M871/IF(B166="Positive",D871,F871)*10^6</f>
        <v>14.900910477510955</v>
      </c>
      <c r="K951" s="192">
        <f>I951+J951</f>
        <v>14.46037354096396</v>
      </c>
      <c r="L951" s="194">
        <f>SQRT(1-(K951/INPUT!AO57)^2)</f>
        <v>0.999275698902602</v>
      </c>
      <c r="M951" s="4"/>
      <c r="N951" s="4"/>
    </row>
    <row r="952">
      <c r="A952" s="187">
        <f>A872</f>
        <v>101</v>
      </c>
      <c r="B952" s="191">
        <f>INPUT!AW58</f>
        <v>-15.450687251974125</v>
      </c>
      <c r="C952" s="191">
        <f>INPUT!AX58</f>
        <v>0.0077810315162377564</v>
      </c>
      <c r="D952" s="191">
        <f>INPUT!AY58</f>
        <v>-33.358852623308422</v>
      </c>
      <c r="E952" s="191">
        <f>INPUT!CB58</f>
        <v>681.48636646994623</v>
      </c>
      <c r="F952" s="191">
        <f>INPUT!CC58</f>
        <v>-30.995046428479881</v>
      </c>
      <c r="G952" s="191">
        <f>INPUT!CD58</f>
        <v>753.41665672307568</v>
      </c>
      <c r="H952" s="191">
        <f>INPUT!CE58</f>
        <v>-2107.9034132057982</v>
      </c>
      <c r="I952" s="192">
        <f>1.25*(B952+C952+D952)/2/L872/IF(B167="Positive",D872,F872)*10^6</f>
        <v>-0.44053693654699411</v>
      </c>
      <c r="J952" s="192">
        <f>(1.25*E952+1.5*F952+1.8*IF(1.25*E952+1.5*F952&gt;=0,G952,H952))/2/M872/IF(B167="Positive",D872,F872)*10^6</f>
        <v>14.900910477510955</v>
      </c>
      <c r="K952" s="192">
        <f>I952+J952</f>
        <v>14.46037354096396</v>
      </c>
      <c r="L952" s="194">
        <f>SQRT(1-(K952/INPUT!AO58)^2)</f>
        <v>0.999275698902602</v>
      </c>
      <c r="M952" s="4"/>
      <c r="N952" s="4"/>
    </row>
    <row r="953">
      <c r="A953" s="187">
        <f>A873</f>
        <v>101</v>
      </c>
      <c r="B953" s="191">
        <f>INPUT!AW59</f>
        <v>-15.450687251974125</v>
      </c>
      <c r="C953" s="191">
        <f>INPUT!AX59</f>
        <v>0.0077810315162377564</v>
      </c>
      <c r="D953" s="191">
        <f>INPUT!AY59</f>
        <v>-33.358852623308422</v>
      </c>
      <c r="E953" s="191">
        <f>INPUT!CB59</f>
        <v>681.48636646994623</v>
      </c>
      <c r="F953" s="191">
        <f>INPUT!CC59</f>
        <v>-30.995046428479881</v>
      </c>
      <c r="G953" s="191">
        <f>INPUT!CD59</f>
        <v>753.41665672307568</v>
      </c>
      <c r="H953" s="191">
        <f>INPUT!CE59</f>
        <v>-2107.9034132057982</v>
      </c>
      <c r="I953" s="192">
        <f>1.25*(B953+C953+D953)/2/L873/IF(B168="Positive",D873,F873)*10^6</f>
        <v>-0.44053693654699411</v>
      </c>
      <c r="J953" s="192">
        <f>(1.25*E953+1.5*F953+1.8*IF(1.25*E953+1.5*F953&gt;=0,G953,H953))/2/M873/IF(B168="Positive",D873,F873)*10^6</f>
        <v>14.900910477510955</v>
      </c>
      <c r="K953" s="192">
        <f>I953+J953</f>
        <v>14.46037354096396</v>
      </c>
      <c r="L953" s="194">
        <f>SQRT(1-(K953/INPUT!AO59)^2)</f>
        <v>0.999275698902602</v>
      </c>
      <c r="M953" s="4"/>
      <c r="N953" s="4"/>
    </row>
    <row r="954">
      <c r="A954" s="187">
        <f>A874</f>
        <v>101</v>
      </c>
      <c r="B954" s="191">
        <f>INPUT!AW60</f>
        <v>-15.450687251974125</v>
      </c>
      <c r="C954" s="191">
        <f>INPUT!AX60</f>
        <v>0.0077810315162377564</v>
      </c>
      <c r="D954" s="191">
        <f>INPUT!AY60</f>
        <v>-33.358852623308422</v>
      </c>
      <c r="E954" s="191">
        <f>INPUT!CB60</f>
        <v>681.48636646994623</v>
      </c>
      <c r="F954" s="191">
        <f>INPUT!CC60</f>
        <v>-30.995046428479881</v>
      </c>
      <c r="G954" s="191">
        <f>INPUT!CD60</f>
        <v>753.41665672307568</v>
      </c>
      <c r="H954" s="191">
        <f>INPUT!CE60</f>
        <v>-2107.9034132057982</v>
      </c>
      <c r="I954" s="192">
        <f>1.25*(B954+C954+D954)/2/L874/IF(B169="Positive",D874,F874)*10^6</f>
        <v>-0.44053693654699411</v>
      </c>
      <c r="J954" s="192">
        <f>(1.25*E954+1.5*F954+1.8*IF(1.25*E954+1.5*F954&gt;=0,G954,H954))/2/M874/IF(B169="Positive",D874,F874)*10^6</f>
        <v>14.900910477510955</v>
      </c>
      <c r="K954" s="192">
        <f>I954+J954</f>
        <v>14.46037354096396</v>
      </c>
      <c r="L954" s="194">
        <f>SQRT(1-(K954/INPUT!AO60)^2)</f>
        <v>0.999275698902602</v>
      </c>
      <c r="M954" s="4"/>
      <c r="N954" s="4"/>
    </row>
    <row r="955">
      <c r="A955" s="187">
        <f>A875</f>
        <v>101</v>
      </c>
      <c r="B955" s="191">
        <f>INPUT!AW61</f>
        <v>-15.450687251974125</v>
      </c>
      <c r="C955" s="191">
        <f>INPUT!AX61</f>
        <v>0.0077810315162377564</v>
      </c>
      <c r="D955" s="191">
        <f>INPUT!AY61</f>
        <v>-33.358852623308422</v>
      </c>
      <c r="E955" s="191">
        <f>INPUT!CB61</f>
        <v>681.48636646994623</v>
      </c>
      <c r="F955" s="191">
        <f>INPUT!CC61</f>
        <v>-30.995046428479881</v>
      </c>
      <c r="G955" s="191">
        <f>INPUT!CD61</f>
        <v>753.41665672307568</v>
      </c>
      <c r="H955" s="191">
        <f>INPUT!CE61</f>
        <v>-2107.9034132057982</v>
      </c>
      <c r="I955" s="192">
        <f>1.25*(B955+C955+D955)/2/L875/IF(B170="Positive",D875,F875)*10^6</f>
        <v>-0.44053693654699411</v>
      </c>
      <c r="J955" s="192">
        <f>(1.25*E955+1.5*F955+1.8*IF(1.25*E955+1.5*F955&gt;=0,G955,H955))/2/M875/IF(B170="Positive",D875,F875)*10^6</f>
        <v>14.900910477510955</v>
      </c>
      <c r="K955" s="192">
        <f>I955+J955</f>
        <v>14.46037354096396</v>
      </c>
      <c r="L955" s="194">
        <f>SQRT(1-(K955/INPUT!AO61)^2)</f>
        <v>0.999275698902602</v>
      </c>
      <c r="M955" s="4"/>
      <c r="N955" s="4"/>
    </row>
    <row r="956">
      <c r="A956" s="187">
        <f>A876</f>
        <v>101</v>
      </c>
      <c r="B956" s="191">
        <f>INPUT!AW62</f>
        <v>-15.450687251974125</v>
      </c>
      <c r="C956" s="191">
        <f>INPUT!AX62</f>
        <v>0.0077810315162377564</v>
      </c>
      <c r="D956" s="191">
        <f>INPUT!AY62</f>
        <v>-33.358852623308422</v>
      </c>
      <c r="E956" s="191">
        <f>INPUT!CB62</f>
        <v>681.48636646994623</v>
      </c>
      <c r="F956" s="191">
        <f>INPUT!CC62</f>
        <v>-30.995046428479881</v>
      </c>
      <c r="G956" s="191">
        <f>INPUT!CD62</f>
        <v>753.41665672307568</v>
      </c>
      <c r="H956" s="191">
        <f>INPUT!CE62</f>
        <v>-2107.9034132057982</v>
      </c>
      <c r="I956" s="192">
        <f>1.25*(B956+C956+D956)/2/L876/IF(B171="Positive",D876,F876)*10^6</f>
        <v>-0.44053693654699411</v>
      </c>
      <c r="J956" s="192">
        <f>(1.25*E956+1.5*F956+1.8*IF(1.25*E956+1.5*F956&gt;=0,G956,H956))/2/M876/IF(B171="Positive",D876,F876)*10^6</f>
        <v>14.900910477510955</v>
      </c>
      <c r="K956" s="192">
        <f>I956+J956</f>
        <v>14.46037354096396</v>
      </c>
      <c r="L956" s="194">
        <f>SQRT(1-(K956/INPUT!AO62)^2)</f>
        <v>0.999275698902602</v>
      </c>
      <c r="M956" s="4"/>
      <c r="N956" s="4"/>
    </row>
    <row r="957">
      <c r="A957" s="187">
        <f>A877</f>
        <v>101</v>
      </c>
      <c r="B957" s="191">
        <f>INPUT!AW63</f>
        <v>-15.450687251974125</v>
      </c>
      <c r="C957" s="191">
        <f>INPUT!AX63</f>
        <v>0.0077810315162377564</v>
      </c>
      <c r="D957" s="191">
        <f>INPUT!AY63</f>
        <v>-33.358852623308422</v>
      </c>
      <c r="E957" s="191">
        <f>INPUT!CB63</f>
        <v>681.48636646994623</v>
      </c>
      <c r="F957" s="191">
        <f>INPUT!CC63</f>
        <v>-30.995046428479881</v>
      </c>
      <c r="G957" s="191">
        <f>INPUT!CD63</f>
        <v>753.41665672307568</v>
      </c>
      <c r="H957" s="191">
        <f>INPUT!CE63</f>
        <v>-2107.9034132057982</v>
      </c>
      <c r="I957" s="192">
        <f>1.25*(B957+C957+D957)/2/L877/IF(B172="Positive",D877,F877)*10^6</f>
        <v>-0.44053693654699411</v>
      </c>
      <c r="J957" s="192">
        <f>(1.25*E957+1.5*F957+1.8*IF(1.25*E957+1.5*F957&gt;=0,G957,H957))/2/M877/IF(B172="Positive",D877,F877)*10^6</f>
        <v>14.900910477510955</v>
      </c>
      <c r="K957" s="192">
        <f>I957+J957</f>
        <v>14.46037354096396</v>
      </c>
      <c r="L957" s="194">
        <f>SQRT(1-(K957/INPUT!AO63)^2)</f>
        <v>0.999275698902602</v>
      </c>
      <c r="M957" s="4"/>
      <c r="N957" s="4"/>
    </row>
    <row r="958">
      <c r="A958" s="187">
        <f>A878</f>
        <v>101</v>
      </c>
      <c r="B958" s="191">
        <f>INPUT!AW64</f>
        <v>-15.450687251974125</v>
      </c>
      <c r="C958" s="191">
        <f>INPUT!AX64</f>
        <v>0.0077810315162377564</v>
      </c>
      <c r="D958" s="191">
        <f>INPUT!AY64</f>
        <v>-33.358852623308422</v>
      </c>
      <c r="E958" s="191">
        <f>INPUT!CB64</f>
        <v>681.48636646994623</v>
      </c>
      <c r="F958" s="191">
        <f>INPUT!CC64</f>
        <v>-30.995046428479881</v>
      </c>
      <c r="G958" s="191">
        <f>INPUT!CD64</f>
        <v>753.41665672307568</v>
      </c>
      <c r="H958" s="191">
        <f>INPUT!CE64</f>
        <v>-2107.9034132057982</v>
      </c>
      <c r="I958" s="192">
        <f>1.25*(B958+C958+D958)/2/L878/IF(B173="Positive",D878,F878)*10^6</f>
        <v>-0.44053693654699411</v>
      </c>
      <c r="J958" s="192">
        <f>(1.25*E958+1.5*F958+1.8*IF(1.25*E958+1.5*F958&gt;=0,G958,H958))/2/M878/IF(B173="Positive",D878,F878)*10^6</f>
        <v>14.900910477510955</v>
      </c>
      <c r="K958" s="192">
        <f>I958+J958</f>
        <v>14.46037354096396</v>
      </c>
      <c r="L958" s="194">
        <f>SQRT(1-(K958/INPUT!AO64)^2)</f>
        <v>0.999275698902602</v>
      </c>
      <c r="M958" s="4"/>
      <c r="N958" s="4"/>
    </row>
    <row r="959">
      <c r="A959" s="187">
        <f>A879</f>
        <v>101</v>
      </c>
      <c r="B959" s="191">
        <f>INPUT!AW65</f>
        <v>-15.450687251974125</v>
      </c>
      <c r="C959" s="191">
        <f>INPUT!AX65</f>
        <v>0.0077810315162377564</v>
      </c>
      <c r="D959" s="191">
        <f>INPUT!AY65</f>
        <v>-33.358852623308422</v>
      </c>
      <c r="E959" s="191">
        <f>INPUT!CB65</f>
        <v>681.48636646994623</v>
      </c>
      <c r="F959" s="191">
        <f>INPUT!CC65</f>
        <v>-30.995046428479881</v>
      </c>
      <c r="G959" s="191">
        <f>INPUT!CD65</f>
        <v>753.41665672307568</v>
      </c>
      <c r="H959" s="191">
        <f>INPUT!CE65</f>
        <v>-2107.9034132057982</v>
      </c>
      <c r="I959" s="192">
        <f>1.25*(B959+C959+D959)/2/L879/IF(B174="Positive",D879,F879)*10^6</f>
        <v>-0.44053693654699411</v>
      </c>
      <c r="J959" s="192">
        <f>(1.25*E959+1.5*F959+1.8*IF(1.25*E959+1.5*F959&gt;=0,G959,H959))/2/M879/IF(B174="Positive",D879,F879)*10^6</f>
        <v>14.900910477510955</v>
      </c>
      <c r="K959" s="192">
        <f>I959+J959</f>
        <v>14.46037354096396</v>
      </c>
      <c r="L959" s="194">
        <f>SQRT(1-(K959/INPUT!AO65)^2)</f>
        <v>0.999275698902602</v>
      </c>
      <c r="M959" s="4"/>
      <c r="N959" s="4"/>
    </row>
    <row r="960">
      <c r="A960" s="187">
        <f>A880</f>
        <v>101</v>
      </c>
      <c r="B960" s="191">
        <f>INPUT!AW66</f>
        <v>-15.450687251974125</v>
      </c>
      <c r="C960" s="191">
        <f>INPUT!AX66</f>
        <v>0.0077810315162377564</v>
      </c>
      <c r="D960" s="191">
        <f>INPUT!AY66</f>
        <v>-33.358852623308422</v>
      </c>
      <c r="E960" s="191">
        <f>INPUT!CB66</f>
        <v>681.48636646994623</v>
      </c>
      <c r="F960" s="191">
        <f>INPUT!CC66</f>
        <v>-30.995046428479881</v>
      </c>
      <c r="G960" s="191">
        <f>INPUT!CD66</f>
        <v>753.41665672307568</v>
      </c>
      <c r="H960" s="191">
        <f>INPUT!CE66</f>
        <v>-2107.9034132057982</v>
      </c>
      <c r="I960" s="192">
        <f>1.25*(B960+C960+D960)/2/L880/IF(B175="Positive",D880,F880)*10^6</f>
        <v>-0.44053693654699411</v>
      </c>
      <c r="J960" s="192">
        <f>(1.25*E960+1.5*F960+1.8*IF(1.25*E960+1.5*F960&gt;=0,G960,H960))/2/M880/IF(B175="Positive",D880,F880)*10^6</f>
        <v>14.900910477510955</v>
      </c>
      <c r="K960" s="192">
        <f>I960+J960</f>
        <v>14.46037354096396</v>
      </c>
      <c r="L960" s="194">
        <f>SQRT(1-(K960/INPUT!AO66)^2)</f>
        <v>0.999275698902602</v>
      </c>
      <c r="M960" s="4"/>
      <c r="N960" s="4"/>
    </row>
    <row r="961">
      <c r="A961" s="187">
        <f>A881</f>
        <v>101</v>
      </c>
      <c r="B961" s="191">
        <f>INPUT!AW67</f>
        <v>-15.450687251974125</v>
      </c>
      <c r="C961" s="191">
        <f>INPUT!AX67</f>
        <v>0.0077810315162377564</v>
      </c>
      <c r="D961" s="191">
        <f>INPUT!AY67</f>
        <v>-33.358852623308422</v>
      </c>
      <c r="E961" s="191">
        <f>INPUT!CB67</f>
        <v>681.48636646994623</v>
      </c>
      <c r="F961" s="191">
        <f>INPUT!CC67</f>
        <v>-30.995046428479881</v>
      </c>
      <c r="G961" s="191">
        <f>INPUT!CD67</f>
        <v>753.41665672307568</v>
      </c>
      <c r="H961" s="191">
        <f>INPUT!CE67</f>
        <v>-2107.9034132057982</v>
      </c>
      <c r="I961" s="192">
        <f>1.25*(B961+C961+D961)/2/L881/IF(B176="Positive",D881,F881)*10^6</f>
        <v>-0.44053693654699411</v>
      </c>
      <c r="J961" s="192">
        <f>(1.25*E961+1.5*F961+1.8*IF(1.25*E961+1.5*F961&gt;=0,G961,H961))/2/M881/IF(B176="Positive",D881,F881)*10^6</f>
        <v>14.900910477510955</v>
      </c>
      <c r="K961" s="192">
        <f>I961+J961</f>
        <v>14.46037354096396</v>
      </c>
      <c r="L961" s="194">
        <f>SQRT(1-(K961/INPUT!AO67)^2)</f>
        <v>0.999275698902602</v>
      </c>
      <c r="M961" s="4"/>
      <c r="N961" s="4"/>
    </row>
    <row r="962">
      <c r="A962" s="187">
        <f>A882</f>
        <v>101</v>
      </c>
      <c r="B962" s="191">
        <f>INPUT!AW68</f>
        <v>-15.450687251974125</v>
      </c>
      <c r="C962" s="191">
        <f>INPUT!AX68</f>
        <v>0.0077810315162377564</v>
      </c>
      <c r="D962" s="191">
        <f>INPUT!AY68</f>
        <v>-33.358852623308422</v>
      </c>
      <c r="E962" s="191">
        <f>INPUT!CB68</f>
        <v>681.48636646994623</v>
      </c>
      <c r="F962" s="191">
        <f>INPUT!CC68</f>
        <v>-30.995046428479881</v>
      </c>
      <c r="G962" s="191">
        <f>INPUT!CD68</f>
        <v>753.41665672307568</v>
      </c>
      <c r="H962" s="191">
        <f>INPUT!CE68</f>
        <v>-2107.9034132057982</v>
      </c>
      <c r="I962" s="192">
        <f>1.25*(B962+C962+D962)/2/L882/IF(B177="Positive",D882,F882)*10^6</f>
        <v>-0.44053693654699411</v>
      </c>
      <c r="J962" s="192">
        <f>(1.25*E962+1.5*F962+1.8*IF(1.25*E962+1.5*F962&gt;=0,G962,H962))/2/M882/IF(B177="Positive",D882,F882)*10^6</f>
        <v>14.900910477510955</v>
      </c>
      <c r="K962" s="192">
        <f>I962+J962</f>
        <v>14.46037354096396</v>
      </c>
      <c r="L962" s="194">
        <f>SQRT(1-(K962/INPUT!AO68)^2)</f>
        <v>0.999275698902602</v>
      </c>
      <c r="M962" s="4"/>
      <c r="N962" s="4"/>
    </row>
    <row r="963">
      <c r="A963" s="187">
        <f>A883</f>
        <v>101</v>
      </c>
      <c r="B963" s="191">
        <f>INPUT!AW69</f>
        <v>-15.450687251974125</v>
      </c>
      <c r="C963" s="191">
        <f>INPUT!AX69</f>
        <v>0.0077810315162377564</v>
      </c>
      <c r="D963" s="191">
        <f>INPUT!AY69</f>
        <v>-33.358852623308422</v>
      </c>
      <c r="E963" s="191">
        <f>INPUT!CB69</f>
        <v>681.48636646994623</v>
      </c>
      <c r="F963" s="191">
        <f>INPUT!CC69</f>
        <v>-30.995046428479881</v>
      </c>
      <c r="G963" s="191">
        <f>INPUT!CD69</f>
        <v>753.41665672307568</v>
      </c>
      <c r="H963" s="191">
        <f>INPUT!CE69</f>
        <v>-2107.9034132057982</v>
      </c>
      <c r="I963" s="192">
        <f>1.25*(B963+C963+D963)/2/L883/IF(B178="Positive",D883,F883)*10^6</f>
        <v>-0.44053693654699411</v>
      </c>
      <c r="J963" s="192">
        <f>(1.25*E963+1.5*F963+1.8*IF(1.25*E963+1.5*F963&gt;=0,G963,H963))/2/M883/IF(B178="Positive",D883,F883)*10^6</f>
        <v>14.900910477510955</v>
      </c>
      <c r="K963" s="192">
        <f>I963+J963</f>
        <v>14.46037354096396</v>
      </c>
      <c r="L963" s="194">
        <f>SQRT(1-(K963/INPUT!AO69)^2)</f>
        <v>0.999275698902602</v>
      </c>
      <c r="M963" s="4"/>
      <c r="N963" s="4"/>
    </row>
    <row r="964">
      <c r="A964" s="187">
        <f>A884</f>
        <v>101</v>
      </c>
      <c r="B964" s="191">
        <f>INPUT!AW70</f>
        <v>-15.450687251974125</v>
      </c>
      <c r="C964" s="191">
        <f>INPUT!AX70</f>
        <v>0.0077810315162377564</v>
      </c>
      <c r="D964" s="191">
        <f>INPUT!AY70</f>
        <v>-33.358852623308422</v>
      </c>
      <c r="E964" s="191">
        <f>INPUT!CB70</f>
        <v>681.48636646994623</v>
      </c>
      <c r="F964" s="191">
        <f>INPUT!CC70</f>
        <v>-30.995046428479881</v>
      </c>
      <c r="G964" s="191">
        <f>INPUT!CD70</f>
        <v>753.41665672307568</v>
      </c>
      <c r="H964" s="191">
        <f>INPUT!CE70</f>
        <v>-2107.9034132057982</v>
      </c>
      <c r="I964" s="192">
        <f>1.25*(B964+C964+D964)/2/L884/IF(B179="Positive",D884,F884)*10^6</f>
        <v>-0.44053693654699411</v>
      </c>
      <c r="J964" s="192">
        <f>(1.25*E964+1.5*F964+1.8*IF(1.25*E964+1.5*F964&gt;=0,G964,H964))/2/M884/IF(B179="Positive",D884,F884)*10^6</f>
        <v>14.900910477510955</v>
      </c>
      <c r="K964" s="192">
        <f>I964+J964</f>
        <v>14.46037354096396</v>
      </c>
      <c r="L964" s="194">
        <f>SQRT(1-(K964/INPUT!AO70)^2)</f>
        <v>0.999275698902602</v>
      </c>
      <c r="M964" s="4"/>
      <c r="N964" s="4"/>
    </row>
    <row r="965">
      <c r="A965" s="187">
        <f>A885</f>
        <v>101</v>
      </c>
      <c r="B965" s="191">
        <f>INPUT!AW71</f>
        <v>-15.450687251974125</v>
      </c>
      <c r="C965" s="191">
        <f>INPUT!AX71</f>
        <v>0.0077810315162377564</v>
      </c>
      <c r="D965" s="191">
        <f>INPUT!AY71</f>
        <v>-33.358852623308422</v>
      </c>
      <c r="E965" s="191">
        <f>INPUT!CB71</f>
        <v>681.48636646994623</v>
      </c>
      <c r="F965" s="191">
        <f>INPUT!CC71</f>
        <v>-30.995046428479881</v>
      </c>
      <c r="G965" s="191">
        <f>INPUT!CD71</f>
        <v>753.41665672307568</v>
      </c>
      <c r="H965" s="191">
        <f>INPUT!CE71</f>
        <v>-2107.9034132057982</v>
      </c>
      <c r="I965" s="192">
        <f>1.25*(B965+C965+D965)/2/L885/IF(B180="Positive",D885,F885)*10^6</f>
        <v>-0.44053693654699411</v>
      </c>
      <c r="J965" s="192">
        <f>(1.25*E965+1.5*F965+1.8*IF(1.25*E965+1.5*F965&gt;=0,G965,H965))/2/M885/IF(B180="Positive",D885,F885)*10^6</f>
        <v>14.900910477510955</v>
      </c>
      <c r="K965" s="192">
        <f>I965+J965</f>
        <v>14.46037354096396</v>
      </c>
      <c r="L965" s="194">
        <f>SQRT(1-(K965/INPUT!AO71)^2)</f>
        <v>0.999275698902602</v>
      </c>
      <c r="M965" s="4"/>
      <c r="N965" s="4"/>
    </row>
    <row r="966">
      <c r="A966" s="187">
        <f>A886</f>
        <v>101</v>
      </c>
      <c r="B966" s="191">
        <f>INPUT!AW72</f>
        <v>-15.450687251974125</v>
      </c>
      <c r="C966" s="191">
        <f>INPUT!AX72</f>
        <v>0.0077810315162377564</v>
      </c>
      <c r="D966" s="191">
        <f>INPUT!AY72</f>
        <v>-33.358852623308422</v>
      </c>
      <c r="E966" s="191">
        <f>INPUT!CB72</f>
        <v>681.48636646994623</v>
      </c>
      <c r="F966" s="191">
        <f>INPUT!CC72</f>
        <v>-30.995046428479881</v>
      </c>
      <c r="G966" s="191">
        <f>INPUT!CD72</f>
        <v>753.41665672307568</v>
      </c>
      <c r="H966" s="191">
        <f>INPUT!CE72</f>
        <v>-2107.9034132057982</v>
      </c>
      <c r="I966" s="192">
        <f>1.25*(B966+C966+D966)/2/L886/IF(B181="Positive",D886,F886)*10^6</f>
        <v>-0.44053693654699411</v>
      </c>
      <c r="J966" s="192">
        <f>(1.25*E966+1.5*F966+1.8*IF(1.25*E966+1.5*F966&gt;=0,G966,H966))/2/M886/IF(B181="Positive",D886,F886)*10^6</f>
        <v>14.900910477510955</v>
      </c>
      <c r="K966" s="192">
        <f>I966+J966</f>
        <v>14.46037354096396</v>
      </c>
      <c r="L966" s="194">
        <f>SQRT(1-(K966/INPUT!AO72)^2)</f>
        <v>0.999275698902602</v>
      </c>
      <c r="M966" s="4"/>
      <c r="N966" s="4"/>
    </row>
    <row r="967">
      <c r="A967" s="187">
        <f>A887</f>
        <v>101</v>
      </c>
      <c r="B967" s="191">
        <f>INPUT!AW73</f>
        <v>-15.450687251974125</v>
      </c>
      <c r="C967" s="191">
        <f>INPUT!AX73</f>
        <v>0.0077810315162377564</v>
      </c>
      <c r="D967" s="191">
        <f>INPUT!AY73</f>
        <v>-33.358852623308422</v>
      </c>
      <c r="E967" s="191">
        <f>INPUT!CB73</f>
        <v>681.48636646994623</v>
      </c>
      <c r="F967" s="191">
        <f>INPUT!CC73</f>
        <v>-30.995046428479881</v>
      </c>
      <c r="G967" s="191">
        <f>INPUT!CD73</f>
        <v>753.41665672307568</v>
      </c>
      <c r="H967" s="191">
        <f>INPUT!CE73</f>
        <v>-2107.9034132057982</v>
      </c>
      <c r="I967" s="192">
        <f>1.25*(B967+C967+D967)/2/L887/IF(B182="Positive",D887,F887)*10^6</f>
        <v>-0.44053693654699411</v>
      </c>
      <c r="J967" s="192">
        <f>(1.25*E967+1.5*F967+1.8*IF(1.25*E967+1.5*F967&gt;=0,G967,H967))/2/M887/IF(B182="Positive",D887,F887)*10^6</f>
        <v>14.900910477510955</v>
      </c>
      <c r="K967" s="192">
        <f>I967+J967</f>
        <v>14.46037354096396</v>
      </c>
      <c r="L967" s="194">
        <f>SQRT(1-(K967/INPUT!AO73)^2)</f>
        <v>0.999275698902602</v>
      </c>
      <c r="M967" s="4"/>
      <c r="N967" s="4"/>
    </row>
    <row r="968">
      <c r="A968" s="187">
        <f>A888</f>
        <v>101</v>
      </c>
      <c r="B968" s="191">
        <f>INPUT!AW74</f>
        <v>-15.450687251974125</v>
      </c>
      <c r="C968" s="191">
        <f>INPUT!AX74</f>
        <v>0.0077810315162377564</v>
      </c>
      <c r="D968" s="191">
        <f>INPUT!AY74</f>
        <v>-33.358852623308422</v>
      </c>
      <c r="E968" s="191">
        <f>INPUT!CB74</f>
        <v>681.48636646994623</v>
      </c>
      <c r="F968" s="191">
        <f>INPUT!CC74</f>
        <v>-30.995046428479881</v>
      </c>
      <c r="G968" s="191">
        <f>INPUT!CD74</f>
        <v>753.41665672307568</v>
      </c>
      <c r="H968" s="191">
        <f>INPUT!CE74</f>
        <v>-2107.9034132057982</v>
      </c>
      <c r="I968" s="192">
        <f>1.25*(B968+C968+D968)/2/L888/IF(B183="Positive",D888,F888)*10^6</f>
        <v>-0.44053693654699411</v>
      </c>
      <c r="J968" s="192">
        <f>(1.25*E968+1.5*F968+1.8*IF(1.25*E968+1.5*F968&gt;=0,G968,H968))/2/M888/IF(B183="Positive",D888,F888)*10^6</f>
        <v>14.900910477510955</v>
      </c>
      <c r="K968" s="192">
        <f>I968+J968</f>
        <v>14.46037354096396</v>
      </c>
      <c r="L968" s="194">
        <f>SQRT(1-(K968/INPUT!AO74)^2)</f>
        <v>0.999275698902602</v>
      </c>
      <c r="M968" s="4"/>
      <c r="N968" s="4"/>
    </row>
    <row r="969">
      <c r="A969" s="187">
        <f>A889</f>
        <v>101</v>
      </c>
      <c r="B969" s="191">
        <f>INPUT!AW75</f>
        <v>-15.450687251974125</v>
      </c>
      <c r="C969" s="191">
        <f>INPUT!AX75</f>
        <v>0.0077810315162377564</v>
      </c>
      <c r="D969" s="191">
        <f>INPUT!AY75</f>
        <v>-33.358852623308422</v>
      </c>
      <c r="E969" s="191">
        <f>INPUT!CB75</f>
        <v>681.48636646994623</v>
      </c>
      <c r="F969" s="191">
        <f>INPUT!CC75</f>
        <v>-30.995046428479881</v>
      </c>
      <c r="G969" s="191">
        <f>INPUT!CD75</f>
        <v>753.41665672307568</v>
      </c>
      <c r="H969" s="191">
        <f>INPUT!CE75</f>
        <v>-2107.9034132057982</v>
      </c>
      <c r="I969" s="192">
        <f>1.25*(B969+C969+D969)/2/L889/IF(B184="Positive",D889,F889)*10^6</f>
        <v>-0.44053693654699411</v>
      </c>
      <c r="J969" s="192">
        <f>(1.25*E969+1.5*F969+1.8*IF(1.25*E969+1.5*F969&gt;=0,G969,H969))/2/M889/IF(B184="Positive",D889,F889)*10^6</f>
        <v>14.900910477510955</v>
      </c>
      <c r="K969" s="192">
        <f>I969+J969</f>
        <v>14.46037354096396</v>
      </c>
      <c r="L969" s="194">
        <f>SQRT(1-(K969/INPUT!AO75)^2)</f>
        <v>0.999275698902602</v>
      </c>
      <c r="M969" s="4"/>
      <c r="N969" s="4"/>
    </row>
    <row r="970">
      <c r="A970" s="187">
        <f>A890</f>
        <v>101</v>
      </c>
      <c r="B970" s="191">
        <f>INPUT!AW76</f>
        <v>-15.450687251974125</v>
      </c>
      <c r="C970" s="191">
        <f>INPUT!AX76</f>
        <v>0.0077810315162377564</v>
      </c>
      <c r="D970" s="191">
        <f>INPUT!AY76</f>
        <v>-33.358852623308422</v>
      </c>
      <c r="E970" s="191">
        <f>INPUT!CB76</f>
        <v>681.48636646994623</v>
      </c>
      <c r="F970" s="191">
        <f>INPUT!CC76</f>
        <v>-30.995046428479881</v>
      </c>
      <c r="G970" s="191">
        <f>INPUT!CD76</f>
        <v>753.41665672307568</v>
      </c>
      <c r="H970" s="191">
        <f>INPUT!CE76</f>
        <v>-2107.9034132057982</v>
      </c>
      <c r="I970" s="192">
        <f>1.25*(B970+C970+D970)/2/L890/IF(B185="Positive",D890,F890)*10^6</f>
        <v>-0.44053693654699411</v>
      </c>
      <c r="J970" s="192">
        <f>(1.25*E970+1.5*F970+1.8*IF(1.25*E970+1.5*F970&gt;=0,G970,H970))/2/M890/IF(B185="Positive",D890,F890)*10^6</f>
        <v>14.900910477510955</v>
      </c>
      <c r="K970" s="192">
        <f>I970+J970</f>
        <v>14.46037354096396</v>
      </c>
      <c r="L970" s="194">
        <f>SQRT(1-(K970/INPUT!AO76)^2)</f>
        <v>0.999275698902602</v>
      </c>
      <c r="M970" s="4"/>
      <c r="N970" s="4"/>
    </row>
    <row r="971">
      <c r="A971" s="187">
        <f>A891</f>
        <v>101</v>
      </c>
      <c r="B971" s="191">
        <f>INPUT!AW77</f>
        <v>-15.450687251974125</v>
      </c>
      <c r="C971" s="191">
        <f>INPUT!AX77</f>
        <v>0.0077810315162377564</v>
      </c>
      <c r="D971" s="191">
        <f>INPUT!AY77</f>
        <v>-33.358852623308422</v>
      </c>
      <c r="E971" s="191">
        <f>INPUT!CB77</f>
        <v>681.48636646994623</v>
      </c>
      <c r="F971" s="191">
        <f>INPUT!CC77</f>
        <v>-30.995046428479881</v>
      </c>
      <c r="G971" s="191">
        <f>INPUT!CD77</f>
        <v>753.41665672307568</v>
      </c>
      <c r="H971" s="191">
        <f>INPUT!CE77</f>
        <v>-2107.9034132057982</v>
      </c>
      <c r="I971" s="192">
        <f>1.25*(B971+C971+D971)/2/L891/IF(B186="Positive",D891,F891)*10^6</f>
        <v>-0.44053693654699411</v>
      </c>
      <c r="J971" s="192">
        <f>(1.25*E971+1.5*F971+1.8*IF(1.25*E971+1.5*F971&gt;=0,G971,H971))/2/M891/IF(B186="Positive",D891,F891)*10^6</f>
        <v>14.900910477510955</v>
      </c>
      <c r="K971" s="192">
        <f>I971+J971</f>
        <v>14.46037354096396</v>
      </c>
      <c r="L971" s="194">
        <f>SQRT(1-(K971/INPUT!AO77)^2)</f>
        <v>0.999275698902602</v>
      </c>
      <c r="M971" s="4"/>
      <c r="N971" s="4"/>
    </row>
    <row r="972">
      <c r="A972" s="187">
        <f>A892</f>
        <v>101</v>
      </c>
      <c r="B972" s="191">
        <f>INPUT!AW78</f>
        <v>-15.450687251974125</v>
      </c>
      <c r="C972" s="191">
        <f>INPUT!AX78</f>
        <v>0.0077810315162377564</v>
      </c>
      <c r="D972" s="191">
        <f>INPUT!AY78</f>
        <v>-33.358852623308422</v>
      </c>
      <c r="E972" s="191">
        <f>INPUT!CB78</f>
        <v>681.48636646994623</v>
      </c>
      <c r="F972" s="191">
        <f>INPUT!CC78</f>
        <v>-30.995046428479881</v>
      </c>
      <c r="G972" s="191">
        <f>INPUT!CD78</f>
        <v>753.41665672307568</v>
      </c>
      <c r="H972" s="191">
        <f>INPUT!CE78</f>
        <v>-2107.9034132057982</v>
      </c>
      <c r="I972" s="192">
        <f>1.25*(B972+C972+D972)/2/L892/IF(B187="Positive",D892,F892)*10^6</f>
        <v>-0.44053693654699411</v>
      </c>
      <c r="J972" s="192">
        <f>(1.25*E972+1.5*F972+1.8*IF(1.25*E972+1.5*F972&gt;=0,G972,H972))/2/M892/IF(B187="Positive",D892,F892)*10^6</f>
        <v>14.900910477510955</v>
      </c>
      <c r="K972" s="192">
        <f>I972+J972</f>
        <v>14.46037354096396</v>
      </c>
      <c r="L972" s="194">
        <f>SQRT(1-(K972/INPUT!AO78)^2)</f>
        <v>0.999275698902602</v>
      </c>
      <c r="M972" s="4"/>
      <c r="N972" s="4"/>
    </row>
    <row r="973" ht="15" customHeight="1" s="4" customFormat="1">
      <c r="A973" s="207"/>
      <c r="B973" s="207"/>
      <c r="C973" s="138"/>
      <c r="D973" s="138"/>
      <c r="E973" s="138"/>
      <c r="F973" s="138"/>
      <c r="G973" s="133"/>
      <c r="H973" s="133"/>
      <c r="I973" s="133"/>
      <c r="J973" s="133"/>
      <c r="K973" s="133"/>
      <c r="L973" s="133"/>
      <c r="N973" s="312"/>
      <c r="O973" s="350"/>
      <c r="P973" s="367"/>
      <c r="Q973" s="312"/>
      <c r="R973" s="312"/>
      <c r="S973" s="300"/>
      <c r="T973" s="300"/>
      <c r="U973" s="312"/>
      <c r="V973" s="312"/>
      <c r="W973" s="312"/>
      <c r="X973" s="312"/>
      <c r="Y973" s="312"/>
      <c r="Z973" s="312"/>
      <c r="AB973" s="207"/>
      <c r="AD973" s="312"/>
      <c r="AE973" s="207"/>
    </row>
    <row r="974" ht="15" customHeight="1" s="4" customFormat="1">
      <c r="A974" s="59" t="s">
        <v>930</v>
      </c>
      <c r="G974" s="110"/>
      <c r="H974" s="110"/>
      <c r="I974" s="110"/>
      <c r="L974" s="207"/>
      <c r="O974" s="296"/>
      <c r="P974" s="64"/>
      <c r="Z974" s="207"/>
      <c r="AB974" s="207"/>
      <c r="AE974" s="207"/>
    </row>
    <row r="975" ht="15" customHeight="1" s="4" customFormat="1">
      <c r="A975" s="273" t="s">
        <v>230</v>
      </c>
      <c r="B975" s="494" t="s">
        <v>350</v>
      </c>
      <c r="C975" s="498"/>
      <c r="D975" s="498"/>
      <c r="E975" s="498"/>
      <c r="F975" s="495"/>
      <c r="G975" s="274" t="s">
        <v>362</v>
      </c>
      <c r="H975" s="494" t="s">
        <v>931</v>
      </c>
      <c r="I975" s="495"/>
      <c r="J975" s="274" t="s">
        <v>353</v>
      </c>
      <c r="K975" s="274" t="s">
        <v>354</v>
      </c>
      <c r="L975" s="275" t="s">
        <v>355</v>
      </c>
      <c r="O975" s="296"/>
      <c r="P975" s="64"/>
    </row>
    <row r="976" ht="15" customHeight="1" s="4" customFormat="1">
      <c r="A976" s="276"/>
      <c r="B976" s="285" t="s">
        <v>57</v>
      </c>
      <c r="C976" s="285" t="s">
        <v>58</v>
      </c>
      <c r="D976" s="285" t="s">
        <v>356</v>
      </c>
      <c r="E976" s="285" t="s">
        <v>357</v>
      </c>
      <c r="F976" s="285" t="s">
        <v>358</v>
      </c>
      <c r="G976" s="277"/>
      <c r="H976" s="285" t="s">
        <v>932</v>
      </c>
      <c r="I976" s="285" t="s">
        <v>352</v>
      </c>
      <c r="J976" s="277"/>
      <c r="K976" s="277"/>
      <c r="L976" s="278"/>
      <c r="O976" s="296"/>
      <c r="P976" s="64"/>
    </row>
    <row r="977" ht="15" customHeight="1">
      <c r="A977" s="187">
        <f>A897</f>
        <v>101</v>
      </c>
      <c r="B977" s="191">
        <f>INPUT!CF3</f>
        <v>1336.0083061051159</v>
      </c>
      <c r="C977" s="191">
        <f>INPUT!CG3</f>
        <v>1497.9916938948841</v>
      </c>
      <c r="D977" s="174">
        <f>D817</f>
        <v>22</v>
      </c>
      <c r="E977" s="174">
        <f>F817</f>
        <v>12</v>
      </c>
      <c r="F977" s="191">
        <f>MAX(B977-D977,C977-E977)</f>
        <v>1485.9916938948841</v>
      </c>
      <c r="G977" s="174">
        <f>IF(B977-D977&gt;=C977-E977,INPUT!H3*INPUT!I3*INPUT!J3,INPUT!K3*INPUT!L3)</f>
        <v>23235.974822151198</v>
      </c>
      <c r="H977" s="174">
        <f>MAX(ABS(INPUT!CH3),ABS(INPUT!CI3),INPUT!AO3)</f>
        <v>380</v>
      </c>
      <c r="I977" s="192">
        <f>MIN(INPUT!AQ3/H977,1)</f>
        <v>0.93421052631578949</v>
      </c>
      <c r="J977" s="174">
        <f>INPUT!O3</f>
        <v>12</v>
      </c>
      <c r="K977" s="191">
        <f>2*F977*J977/G977</f>
        <v>1.5348527843763364</v>
      </c>
      <c r="L977" s="194">
        <f>IF(INPUT!AQ3&gt;=INPUT!AO3,1,(12+K977*(3*I977-I977^3))/(12+2*K977))</f>
        <v>0.9987065011286681</v>
      </c>
      <c r="M977" s="4"/>
      <c r="N977" s="4"/>
    </row>
    <row r="978">
      <c r="A978" s="187">
        <f>A898</f>
        <v>101</v>
      </c>
      <c r="B978" s="191">
        <f>INPUT!CF4</f>
        <v>1336.0083061051159</v>
      </c>
      <c r="C978" s="191">
        <f>INPUT!CG4</f>
        <v>1497.9916938948841</v>
      </c>
      <c r="D978" s="174">
        <f>D818</f>
        <v>22</v>
      </c>
      <c r="E978" s="174">
        <f>F818</f>
        <v>12</v>
      </c>
      <c r="F978" s="191">
        <f>MAX(B978-D978,C978-E978)</f>
        <v>1485.9916938948841</v>
      </c>
      <c r="G978" s="174">
        <f>IF(B978-D978&gt;=C978-E978,INPUT!H4*INPUT!I4*INPUT!J4,INPUT!K4*INPUT!L4)</f>
        <v>23235.974822151198</v>
      </c>
      <c r="H978" s="174">
        <f>MAX(ABS(INPUT!CH4),ABS(INPUT!CI4),INPUT!AO4)</f>
        <v>380</v>
      </c>
      <c r="I978" s="192">
        <f>MIN(INPUT!AQ4/H978,1)</f>
        <v>0.93421052631578949</v>
      </c>
      <c r="J978" s="174">
        <f>INPUT!O4</f>
        <v>12</v>
      </c>
      <c r="K978" s="191">
        <f>2*F978*J978/G978</f>
        <v>1.5348527843763364</v>
      </c>
      <c r="L978" s="194">
        <f>IF(INPUT!AQ4&gt;=INPUT!AO4,1,(12+K978*(3*I978-I978^3))/(12+2*K978))</f>
        <v>0.9987065011286681</v>
      </c>
      <c r="M978" s="4"/>
      <c r="N978" s="4"/>
    </row>
    <row r="979">
      <c r="A979" s="187">
        <f>A899</f>
        <v>101</v>
      </c>
      <c r="B979" s="191">
        <f>INPUT!CF5</f>
        <v>1336.0083061051159</v>
      </c>
      <c r="C979" s="191">
        <f>INPUT!CG5</f>
        <v>1497.9916938948841</v>
      </c>
      <c r="D979" s="174">
        <f>D819</f>
        <v>22</v>
      </c>
      <c r="E979" s="174">
        <f>F819</f>
        <v>12</v>
      </c>
      <c r="F979" s="191">
        <f>MAX(B979-D979,C979-E979)</f>
        <v>1485.9916938948841</v>
      </c>
      <c r="G979" s="174">
        <f>IF(B979-D979&gt;=C979-E979,INPUT!H5*INPUT!I5*INPUT!J5,INPUT!K5*INPUT!L5)</f>
        <v>23235.974822151198</v>
      </c>
      <c r="H979" s="174">
        <f>MAX(ABS(INPUT!CH5),ABS(INPUT!CI5),INPUT!AO5)</f>
        <v>380</v>
      </c>
      <c r="I979" s="192">
        <f>MIN(INPUT!AQ5/H979,1)</f>
        <v>0.93421052631578949</v>
      </c>
      <c r="J979" s="174">
        <f>INPUT!O5</f>
        <v>12</v>
      </c>
      <c r="K979" s="191">
        <f>2*F979*J979/G979</f>
        <v>1.5348527843763364</v>
      </c>
      <c r="L979" s="194">
        <f>IF(INPUT!AQ5&gt;=INPUT!AO5,1,(12+K979*(3*I979-I979^3))/(12+2*K979))</f>
        <v>0.9987065011286681</v>
      </c>
      <c r="M979" s="4"/>
      <c r="N979" s="4"/>
    </row>
    <row r="980">
      <c r="A980" s="187">
        <f>A900</f>
        <v>101</v>
      </c>
      <c r="B980" s="191">
        <f>INPUT!CF6</f>
        <v>1336.0083061051159</v>
      </c>
      <c r="C980" s="191">
        <f>INPUT!CG6</f>
        <v>1497.9916938948841</v>
      </c>
      <c r="D980" s="174">
        <f>D820</f>
        <v>22</v>
      </c>
      <c r="E980" s="174">
        <f>F820</f>
        <v>12</v>
      </c>
      <c r="F980" s="191">
        <f>MAX(B980-D980,C980-E980)</f>
        <v>1485.9916938948841</v>
      </c>
      <c r="G980" s="174">
        <f>IF(B980-D980&gt;=C980-E980,INPUT!H6*INPUT!I6*INPUT!J6,INPUT!K6*INPUT!L6)</f>
        <v>23235.974822151198</v>
      </c>
      <c r="H980" s="174">
        <f>MAX(ABS(INPUT!CH6),ABS(INPUT!CI6),INPUT!AO6)</f>
        <v>380</v>
      </c>
      <c r="I980" s="192">
        <f>MIN(INPUT!AQ6/H980,1)</f>
        <v>0.93421052631578949</v>
      </c>
      <c r="J980" s="174">
        <f>INPUT!O6</f>
        <v>12</v>
      </c>
      <c r="K980" s="191">
        <f>2*F980*J980/G980</f>
        <v>1.5348527843763364</v>
      </c>
      <c r="L980" s="194">
        <f>IF(INPUT!AQ6&gt;=INPUT!AO6,1,(12+K980*(3*I980-I980^3))/(12+2*K980))</f>
        <v>0.9987065011286681</v>
      </c>
      <c r="M980" s="4"/>
      <c r="N980" s="4"/>
    </row>
    <row r="981">
      <c r="A981" s="187">
        <f>A901</f>
        <v>101</v>
      </c>
      <c r="B981" s="191">
        <f>INPUT!CF7</f>
        <v>1336.0083061051159</v>
      </c>
      <c r="C981" s="191">
        <f>INPUT!CG7</f>
        <v>1497.9916938948841</v>
      </c>
      <c r="D981" s="174">
        <f>D821</f>
        <v>22</v>
      </c>
      <c r="E981" s="174">
        <f>F821</f>
        <v>12</v>
      </c>
      <c r="F981" s="191">
        <f>MAX(B981-D981,C981-E981)</f>
        <v>1485.9916938948841</v>
      </c>
      <c r="G981" s="174">
        <f>IF(B981-D981&gt;=C981-E981,INPUT!H7*INPUT!I7*INPUT!J7,INPUT!K7*INPUT!L7)</f>
        <v>23235.974822151198</v>
      </c>
      <c r="H981" s="174">
        <f>MAX(ABS(INPUT!CH7),ABS(INPUT!CI7),INPUT!AO7)</f>
        <v>380</v>
      </c>
      <c r="I981" s="192">
        <f>MIN(INPUT!AQ7/H981,1)</f>
        <v>0.93421052631578949</v>
      </c>
      <c r="J981" s="174">
        <f>INPUT!O7</f>
        <v>12</v>
      </c>
      <c r="K981" s="191">
        <f>2*F981*J981/G981</f>
        <v>1.5348527843763364</v>
      </c>
      <c r="L981" s="194">
        <f>IF(INPUT!AQ7&gt;=INPUT!AO7,1,(12+K981*(3*I981-I981^3))/(12+2*K981))</f>
        <v>0.9987065011286681</v>
      </c>
      <c r="M981" s="4"/>
      <c r="N981" s="4"/>
    </row>
    <row r="982">
      <c r="A982" s="187">
        <f>A902</f>
        <v>101</v>
      </c>
      <c r="B982" s="191">
        <f>INPUT!CF8</f>
        <v>1336.0083061051159</v>
      </c>
      <c r="C982" s="191">
        <f>INPUT!CG8</f>
        <v>1497.9916938948841</v>
      </c>
      <c r="D982" s="174">
        <f>D822</f>
        <v>22</v>
      </c>
      <c r="E982" s="174">
        <f>F822</f>
        <v>12</v>
      </c>
      <c r="F982" s="191">
        <f>MAX(B982-D982,C982-E982)</f>
        <v>1485.9916938948841</v>
      </c>
      <c r="G982" s="174">
        <f>IF(B982-D982&gt;=C982-E982,INPUT!H8*INPUT!I8*INPUT!J8,INPUT!K8*INPUT!L8)</f>
        <v>23235.974822151198</v>
      </c>
      <c r="H982" s="174">
        <f>MAX(ABS(INPUT!CH8),ABS(INPUT!CI8),INPUT!AO8)</f>
        <v>380</v>
      </c>
      <c r="I982" s="192">
        <f>MIN(INPUT!AQ8/H982,1)</f>
        <v>0.93421052631578949</v>
      </c>
      <c r="J982" s="174">
        <f>INPUT!O8</f>
        <v>12</v>
      </c>
      <c r="K982" s="191">
        <f>2*F982*J982/G982</f>
        <v>1.5348527843763364</v>
      </c>
      <c r="L982" s="194">
        <f>IF(INPUT!AQ8&gt;=INPUT!AO8,1,(12+K982*(3*I982-I982^3))/(12+2*K982))</f>
        <v>0.9987065011286681</v>
      </c>
      <c r="M982" s="4"/>
      <c r="N982" s="4"/>
    </row>
    <row r="983">
      <c r="A983" s="187">
        <f>A903</f>
        <v>101</v>
      </c>
      <c r="B983" s="191">
        <f>INPUT!CF9</f>
        <v>1336.0083061051159</v>
      </c>
      <c r="C983" s="191">
        <f>INPUT!CG9</f>
        <v>1497.9916938948841</v>
      </c>
      <c r="D983" s="174">
        <f>D823</f>
        <v>22</v>
      </c>
      <c r="E983" s="174">
        <f>F823</f>
        <v>12</v>
      </c>
      <c r="F983" s="191">
        <f>MAX(B983-D983,C983-E983)</f>
        <v>1485.9916938948841</v>
      </c>
      <c r="G983" s="174">
        <f>IF(B983-D983&gt;=C983-E983,INPUT!H9*INPUT!I9*INPUT!J9,INPUT!K9*INPUT!L9)</f>
        <v>23235.974822151198</v>
      </c>
      <c r="H983" s="174">
        <f>MAX(ABS(INPUT!CH9),ABS(INPUT!CI9),INPUT!AO9)</f>
        <v>380</v>
      </c>
      <c r="I983" s="192">
        <f>MIN(INPUT!AQ9/H983,1)</f>
        <v>0.93421052631578949</v>
      </c>
      <c r="J983" s="174">
        <f>INPUT!O9</f>
        <v>12</v>
      </c>
      <c r="K983" s="191">
        <f>2*F983*J983/G983</f>
        <v>1.5348527843763364</v>
      </c>
      <c r="L983" s="194">
        <f>IF(INPUT!AQ9&gt;=INPUT!AO9,1,(12+K983*(3*I983-I983^3))/(12+2*K983))</f>
        <v>0.9987065011286681</v>
      </c>
      <c r="M983" s="4"/>
      <c r="N983" s="4"/>
    </row>
    <row r="984">
      <c r="A984" s="187">
        <f>A904</f>
        <v>101</v>
      </c>
      <c r="B984" s="191">
        <f>INPUT!CF10</f>
        <v>1336.0083061051159</v>
      </c>
      <c r="C984" s="191">
        <f>INPUT!CG10</f>
        <v>1497.9916938948841</v>
      </c>
      <c r="D984" s="174">
        <f>D824</f>
        <v>22</v>
      </c>
      <c r="E984" s="174">
        <f>F824</f>
        <v>12</v>
      </c>
      <c r="F984" s="191">
        <f>MAX(B984-D984,C984-E984)</f>
        <v>1485.9916938948841</v>
      </c>
      <c r="G984" s="174">
        <f>IF(B984-D984&gt;=C984-E984,INPUT!H10*INPUT!I10*INPUT!J10,INPUT!K10*INPUT!L10)</f>
        <v>23235.974822151198</v>
      </c>
      <c r="H984" s="174">
        <f>MAX(ABS(INPUT!CH10),ABS(INPUT!CI10),INPUT!AO10)</f>
        <v>380</v>
      </c>
      <c r="I984" s="192">
        <f>MIN(INPUT!AQ10/H984,1)</f>
        <v>0.93421052631578949</v>
      </c>
      <c r="J984" s="174">
        <f>INPUT!O10</f>
        <v>12</v>
      </c>
      <c r="K984" s="191">
        <f>2*F984*J984/G984</f>
        <v>1.5348527843763364</v>
      </c>
      <c r="L984" s="194">
        <f>IF(INPUT!AQ10&gt;=INPUT!AO10,1,(12+K984*(3*I984-I984^3))/(12+2*K984))</f>
        <v>0.9987065011286681</v>
      </c>
      <c r="M984" s="4"/>
      <c r="N984" s="4"/>
    </row>
    <row r="985">
      <c r="A985" s="187">
        <f>A905</f>
        <v>101</v>
      </c>
      <c r="B985" s="191">
        <f>INPUT!CF11</f>
        <v>1336.0083061051159</v>
      </c>
      <c r="C985" s="191">
        <f>INPUT!CG11</f>
        <v>1497.9916938948841</v>
      </c>
      <c r="D985" s="174">
        <f>D825</f>
        <v>22</v>
      </c>
      <c r="E985" s="174">
        <f>F825</f>
        <v>12</v>
      </c>
      <c r="F985" s="191">
        <f>MAX(B985-D985,C985-E985)</f>
        <v>1485.9916938948841</v>
      </c>
      <c r="G985" s="174">
        <f>IF(B985-D985&gt;=C985-E985,INPUT!H11*INPUT!I11*INPUT!J11,INPUT!K11*INPUT!L11)</f>
        <v>23235.974822151198</v>
      </c>
      <c r="H985" s="174">
        <f>MAX(ABS(INPUT!CH11),ABS(INPUT!CI11),INPUT!AO11)</f>
        <v>380</v>
      </c>
      <c r="I985" s="192">
        <f>MIN(INPUT!AQ11/H985,1)</f>
        <v>0.93421052631578949</v>
      </c>
      <c r="J985" s="174">
        <f>INPUT!O11</f>
        <v>12</v>
      </c>
      <c r="K985" s="191">
        <f>2*F985*J985/G985</f>
        <v>1.5348527843763364</v>
      </c>
      <c r="L985" s="194">
        <f>IF(INPUT!AQ11&gt;=INPUT!AO11,1,(12+K985*(3*I985-I985^3))/(12+2*K985))</f>
        <v>0.9987065011286681</v>
      </c>
      <c r="M985" s="4"/>
      <c r="N985" s="4"/>
    </row>
    <row r="986">
      <c r="A986" s="187">
        <f>A906</f>
        <v>101</v>
      </c>
      <c r="B986" s="191">
        <f>INPUT!CF12</f>
        <v>1336.0083061051159</v>
      </c>
      <c r="C986" s="191">
        <f>INPUT!CG12</f>
        <v>1497.9916938948841</v>
      </c>
      <c r="D986" s="174">
        <f>D826</f>
        <v>22</v>
      </c>
      <c r="E986" s="174">
        <f>F826</f>
        <v>12</v>
      </c>
      <c r="F986" s="191">
        <f>MAX(B986-D986,C986-E986)</f>
        <v>1485.9916938948841</v>
      </c>
      <c r="G986" s="174">
        <f>IF(B986-D986&gt;=C986-E986,INPUT!H12*INPUT!I12*INPUT!J12,INPUT!K12*INPUT!L12)</f>
        <v>23235.974822151198</v>
      </c>
      <c r="H986" s="174">
        <f>MAX(ABS(INPUT!CH12),ABS(INPUT!CI12),INPUT!AO12)</f>
        <v>380</v>
      </c>
      <c r="I986" s="192">
        <f>MIN(INPUT!AQ12/H986,1)</f>
        <v>0.93421052631578949</v>
      </c>
      <c r="J986" s="174">
        <f>INPUT!O12</f>
        <v>12</v>
      </c>
      <c r="K986" s="191">
        <f>2*F986*J986/G986</f>
        <v>1.5348527843763364</v>
      </c>
      <c r="L986" s="194">
        <f>IF(INPUT!AQ12&gt;=INPUT!AO12,1,(12+K986*(3*I986-I986^3))/(12+2*K986))</f>
        <v>0.9987065011286681</v>
      </c>
      <c r="M986" s="4"/>
      <c r="N986" s="4"/>
    </row>
    <row r="987">
      <c r="A987" s="187">
        <f>A907</f>
        <v>101</v>
      </c>
      <c r="B987" s="191">
        <f>INPUT!CF13</f>
        <v>1336.0083061051159</v>
      </c>
      <c r="C987" s="191">
        <f>INPUT!CG13</f>
        <v>1497.9916938948841</v>
      </c>
      <c r="D987" s="174">
        <f>D827</f>
        <v>22</v>
      </c>
      <c r="E987" s="174">
        <f>F827</f>
        <v>12</v>
      </c>
      <c r="F987" s="191">
        <f>MAX(B987-D987,C987-E987)</f>
        <v>1485.9916938948841</v>
      </c>
      <c r="G987" s="174">
        <f>IF(B987-D987&gt;=C987-E987,INPUT!H13*INPUT!I13*INPUT!J13,INPUT!K13*INPUT!L13)</f>
        <v>23235.974822151198</v>
      </c>
      <c r="H987" s="174">
        <f>MAX(ABS(INPUT!CH13),ABS(INPUT!CI13),INPUT!AO13)</f>
        <v>380</v>
      </c>
      <c r="I987" s="192">
        <f>MIN(INPUT!AQ13/H987,1)</f>
        <v>0.93421052631578949</v>
      </c>
      <c r="J987" s="174">
        <f>INPUT!O13</f>
        <v>12</v>
      </c>
      <c r="K987" s="191">
        <f>2*F987*J987/G987</f>
        <v>1.5348527843763364</v>
      </c>
      <c r="L987" s="194">
        <f>IF(INPUT!AQ13&gt;=INPUT!AO13,1,(12+K987*(3*I987-I987^3))/(12+2*K987))</f>
        <v>0.9987065011286681</v>
      </c>
      <c r="M987" s="4"/>
      <c r="N987" s="4"/>
    </row>
    <row r="988">
      <c r="A988" s="187">
        <f>A908</f>
        <v>101</v>
      </c>
      <c r="B988" s="191">
        <f>INPUT!CF14</f>
        <v>1336.0083061051159</v>
      </c>
      <c r="C988" s="191">
        <f>INPUT!CG14</f>
        <v>1497.9916938948841</v>
      </c>
      <c r="D988" s="174">
        <f>D828</f>
        <v>22</v>
      </c>
      <c r="E988" s="174">
        <f>F828</f>
        <v>12</v>
      </c>
      <c r="F988" s="191">
        <f>MAX(B988-D988,C988-E988)</f>
        <v>1485.9916938948841</v>
      </c>
      <c r="G988" s="174">
        <f>IF(B988-D988&gt;=C988-E988,INPUT!H14*INPUT!I14*INPUT!J14,INPUT!K14*INPUT!L14)</f>
        <v>23235.974822151198</v>
      </c>
      <c r="H988" s="174">
        <f>MAX(ABS(INPUT!CH14),ABS(INPUT!CI14),INPUT!AO14)</f>
        <v>380</v>
      </c>
      <c r="I988" s="192">
        <f>MIN(INPUT!AQ14/H988,1)</f>
        <v>0.93421052631578949</v>
      </c>
      <c r="J988" s="174">
        <f>INPUT!O14</f>
        <v>12</v>
      </c>
      <c r="K988" s="191">
        <f>2*F988*J988/G988</f>
        <v>1.5348527843763364</v>
      </c>
      <c r="L988" s="194">
        <f>IF(INPUT!AQ14&gt;=INPUT!AO14,1,(12+K988*(3*I988-I988^3))/(12+2*K988))</f>
        <v>0.9987065011286681</v>
      </c>
      <c r="M988" s="4"/>
      <c r="N988" s="4"/>
    </row>
    <row r="989">
      <c r="A989" s="187">
        <f>A909</f>
        <v>101</v>
      </c>
      <c r="B989" s="191">
        <f>INPUT!CF15</f>
        <v>1336.0083061051159</v>
      </c>
      <c r="C989" s="191">
        <f>INPUT!CG15</f>
        <v>1497.9916938948841</v>
      </c>
      <c r="D989" s="174">
        <f>D829</f>
        <v>22</v>
      </c>
      <c r="E989" s="174">
        <f>F829</f>
        <v>12</v>
      </c>
      <c r="F989" s="191">
        <f>MAX(B989-D989,C989-E989)</f>
        <v>1485.9916938948841</v>
      </c>
      <c r="G989" s="174">
        <f>IF(B989-D989&gt;=C989-E989,INPUT!H15*INPUT!I15*INPUT!J15,INPUT!K15*INPUT!L15)</f>
        <v>23235.974822151198</v>
      </c>
      <c r="H989" s="174">
        <f>MAX(ABS(INPUT!CH15),ABS(INPUT!CI15),INPUT!AO15)</f>
        <v>380</v>
      </c>
      <c r="I989" s="192">
        <f>MIN(INPUT!AQ15/H989,1)</f>
        <v>0.93421052631578949</v>
      </c>
      <c r="J989" s="174">
        <f>INPUT!O15</f>
        <v>12</v>
      </c>
      <c r="K989" s="191">
        <f>2*F989*J989/G989</f>
        <v>1.5348527843763364</v>
      </c>
      <c r="L989" s="194">
        <f>IF(INPUT!AQ15&gt;=INPUT!AO15,1,(12+K989*(3*I989-I989^3))/(12+2*K989))</f>
        <v>0.9987065011286681</v>
      </c>
      <c r="M989" s="4"/>
      <c r="N989" s="4"/>
    </row>
    <row r="990">
      <c r="A990" s="187">
        <f>A910</f>
        <v>101</v>
      </c>
      <c r="B990" s="191">
        <f>INPUT!CF16</f>
        <v>1336.0083061051159</v>
      </c>
      <c r="C990" s="191">
        <f>INPUT!CG16</f>
        <v>1497.9916938948841</v>
      </c>
      <c r="D990" s="174">
        <f>D830</f>
        <v>22</v>
      </c>
      <c r="E990" s="174">
        <f>F830</f>
        <v>12</v>
      </c>
      <c r="F990" s="191">
        <f>MAX(B990-D990,C990-E990)</f>
        <v>1485.9916938948841</v>
      </c>
      <c r="G990" s="174">
        <f>IF(B990-D990&gt;=C990-E990,INPUT!H16*INPUT!I16*INPUT!J16,INPUT!K16*INPUT!L16)</f>
        <v>23235.974822151198</v>
      </c>
      <c r="H990" s="174">
        <f>MAX(ABS(INPUT!CH16),ABS(INPUT!CI16),INPUT!AO16)</f>
        <v>380</v>
      </c>
      <c r="I990" s="192">
        <f>MIN(INPUT!AQ16/H990,1)</f>
        <v>0.93421052631578949</v>
      </c>
      <c r="J990" s="174">
        <f>INPUT!O16</f>
        <v>12</v>
      </c>
      <c r="K990" s="191">
        <f>2*F990*J990/G990</f>
        <v>1.5348527843763364</v>
      </c>
      <c r="L990" s="194">
        <f>IF(INPUT!AQ16&gt;=INPUT!AO16,1,(12+K990*(3*I990-I990^3))/(12+2*K990))</f>
        <v>0.9987065011286681</v>
      </c>
      <c r="M990" s="4"/>
      <c r="N990" s="4"/>
    </row>
    <row r="991">
      <c r="A991" s="187">
        <f>A911</f>
        <v>101</v>
      </c>
      <c r="B991" s="191">
        <f>INPUT!CF17</f>
        <v>1336.0083061051159</v>
      </c>
      <c r="C991" s="191">
        <f>INPUT!CG17</f>
        <v>1497.9916938948841</v>
      </c>
      <c r="D991" s="174">
        <f>D831</f>
        <v>22</v>
      </c>
      <c r="E991" s="174">
        <f>F831</f>
        <v>12</v>
      </c>
      <c r="F991" s="191">
        <f>MAX(B991-D991,C991-E991)</f>
        <v>1485.9916938948841</v>
      </c>
      <c r="G991" s="174">
        <f>IF(B991-D991&gt;=C991-E991,INPUT!H17*INPUT!I17*INPUT!J17,INPUT!K17*INPUT!L17)</f>
        <v>23235.974822151198</v>
      </c>
      <c r="H991" s="174">
        <f>MAX(ABS(INPUT!CH17),ABS(INPUT!CI17),INPUT!AO17)</f>
        <v>380</v>
      </c>
      <c r="I991" s="192">
        <f>MIN(INPUT!AQ17/H991,1)</f>
        <v>0.93421052631578949</v>
      </c>
      <c r="J991" s="174">
        <f>INPUT!O17</f>
        <v>12</v>
      </c>
      <c r="K991" s="191">
        <f>2*F991*J991/G991</f>
        <v>1.5348527843763364</v>
      </c>
      <c r="L991" s="194">
        <f>IF(INPUT!AQ17&gt;=INPUT!AO17,1,(12+K991*(3*I991-I991^3))/(12+2*K991))</f>
        <v>0.9987065011286681</v>
      </c>
      <c r="M991" s="4"/>
      <c r="N991" s="4"/>
    </row>
    <row r="992">
      <c r="A992" s="187">
        <f>A912</f>
        <v>101</v>
      </c>
      <c r="B992" s="191">
        <f>INPUT!CF18</f>
        <v>1336.0083061051159</v>
      </c>
      <c r="C992" s="191">
        <f>INPUT!CG18</f>
        <v>1497.9916938948841</v>
      </c>
      <c r="D992" s="174">
        <f>D832</f>
        <v>22</v>
      </c>
      <c r="E992" s="174">
        <f>F832</f>
        <v>12</v>
      </c>
      <c r="F992" s="191">
        <f>MAX(B992-D992,C992-E992)</f>
        <v>1485.9916938948841</v>
      </c>
      <c r="G992" s="174">
        <f>IF(B992-D992&gt;=C992-E992,INPUT!H18*INPUT!I18*INPUT!J18,INPUT!K18*INPUT!L18)</f>
        <v>23235.974822151198</v>
      </c>
      <c r="H992" s="174">
        <f>MAX(ABS(INPUT!CH18),ABS(INPUT!CI18),INPUT!AO18)</f>
        <v>380</v>
      </c>
      <c r="I992" s="192">
        <f>MIN(INPUT!AQ18/H992,1)</f>
        <v>0.93421052631578949</v>
      </c>
      <c r="J992" s="174">
        <f>INPUT!O18</f>
        <v>12</v>
      </c>
      <c r="K992" s="191">
        <f>2*F992*J992/G992</f>
        <v>1.5348527843763364</v>
      </c>
      <c r="L992" s="194">
        <f>IF(INPUT!AQ18&gt;=INPUT!AO18,1,(12+K992*(3*I992-I992^3))/(12+2*K992))</f>
        <v>0.9987065011286681</v>
      </c>
      <c r="M992" s="4"/>
      <c r="N992" s="4"/>
    </row>
    <row r="993">
      <c r="A993" s="187">
        <f>A913</f>
        <v>101</v>
      </c>
      <c r="B993" s="191">
        <f>INPUT!CF19</f>
        <v>1336.0083061051159</v>
      </c>
      <c r="C993" s="191">
        <f>INPUT!CG19</f>
        <v>1497.9916938948841</v>
      </c>
      <c r="D993" s="174">
        <f>D833</f>
        <v>22</v>
      </c>
      <c r="E993" s="174">
        <f>F833</f>
        <v>12</v>
      </c>
      <c r="F993" s="191">
        <f>MAX(B993-D993,C993-E993)</f>
        <v>1485.9916938948841</v>
      </c>
      <c r="G993" s="174">
        <f>IF(B993-D993&gt;=C993-E993,INPUT!H19*INPUT!I19*INPUT!J19,INPUT!K19*INPUT!L19)</f>
        <v>23235.974822151198</v>
      </c>
      <c r="H993" s="174">
        <f>MAX(ABS(INPUT!CH19),ABS(INPUT!CI19),INPUT!AO19)</f>
        <v>380</v>
      </c>
      <c r="I993" s="192">
        <f>MIN(INPUT!AQ19/H993,1)</f>
        <v>0.93421052631578949</v>
      </c>
      <c r="J993" s="174">
        <f>INPUT!O19</f>
        <v>12</v>
      </c>
      <c r="K993" s="191">
        <f>2*F993*J993/G993</f>
        <v>1.5348527843763364</v>
      </c>
      <c r="L993" s="194">
        <f>IF(INPUT!AQ19&gt;=INPUT!AO19,1,(12+K993*(3*I993-I993^3))/(12+2*K993))</f>
        <v>0.9987065011286681</v>
      </c>
      <c r="M993" s="4"/>
      <c r="N993" s="4"/>
    </row>
    <row r="994">
      <c r="A994" s="187">
        <f>A914</f>
        <v>101</v>
      </c>
      <c r="B994" s="191">
        <f>INPUT!CF20</f>
        <v>1336.0083061051159</v>
      </c>
      <c r="C994" s="191">
        <f>INPUT!CG20</f>
        <v>1497.9916938948841</v>
      </c>
      <c r="D994" s="174">
        <f>D834</f>
        <v>22</v>
      </c>
      <c r="E994" s="174">
        <f>F834</f>
        <v>12</v>
      </c>
      <c r="F994" s="191">
        <f>MAX(B994-D994,C994-E994)</f>
        <v>1485.9916938948841</v>
      </c>
      <c r="G994" s="174">
        <f>IF(B994-D994&gt;=C994-E994,INPUT!H20*INPUT!I20*INPUT!J20,INPUT!K20*INPUT!L20)</f>
        <v>23235.974822151198</v>
      </c>
      <c r="H994" s="174">
        <f>MAX(ABS(INPUT!CH20),ABS(INPUT!CI20),INPUT!AO20)</f>
        <v>380</v>
      </c>
      <c r="I994" s="192">
        <f>MIN(INPUT!AQ20/H994,1)</f>
        <v>0.93421052631578949</v>
      </c>
      <c r="J994" s="174">
        <f>INPUT!O20</f>
        <v>12</v>
      </c>
      <c r="K994" s="191">
        <f>2*F994*J994/G994</f>
        <v>1.5348527843763364</v>
      </c>
      <c r="L994" s="194">
        <f>IF(INPUT!AQ20&gt;=INPUT!AO20,1,(12+K994*(3*I994-I994^3))/(12+2*K994))</f>
        <v>0.9987065011286681</v>
      </c>
      <c r="M994" s="4"/>
      <c r="N994" s="4"/>
    </row>
    <row r="995">
      <c r="A995" s="187">
        <f>A915</f>
        <v>101</v>
      </c>
      <c r="B995" s="191">
        <f>INPUT!CF21</f>
        <v>1336.0083061051159</v>
      </c>
      <c r="C995" s="191">
        <f>INPUT!CG21</f>
        <v>1497.9916938948841</v>
      </c>
      <c r="D995" s="174">
        <f>D835</f>
        <v>22</v>
      </c>
      <c r="E995" s="174">
        <f>F835</f>
        <v>12</v>
      </c>
      <c r="F995" s="191">
        <f>MAX(B995-D995,C995-E995)</f>
        <v>1485.9916938948841</v>
      </c>
      <c r="G995" s="174">
        <f>IF(B995-D995&gt;=C995-E995,INPUT!H21*INPUT!I21*INPUT!J21,INPUT!K21*INPUT!L21)</f>
        <v>23235.974822151198</v>
      </c>
      <c r="H995" s="174">
        <f>MAX(ABS(INPUT!CH21),ABS(INPUT!CI21),INPUT!AO21)</f>
        <v>380</v>
      </c>
      <c r="I995" s="192">
        <f>MIN(INPUT!AQ21/H995,1)</f>
        <v>0.93421052631578949</v>
      </c>
      <c r="J995" s="174">
        <f>INPUT!O21</f>
        <v>12</v>
      </c>
      <c r="K995" s="191">
        <f>2*F995*J995/G995</f>
        <v>1.5348527843763364</v>
      </c>
      <c r="L995" s="194">
        <f>IF(INPUT!AQ21&gt;=INPUT!AO21,1,(12+K995*(3*I995-I995^3))/(12+2*K995))</f>
        <v>0.9987065011286681</v>
      </c>
      <c r="M995" s="4"/>
      <c r="N995" s="4"/>
    </row>
    <row r="996">
      <c r="A996" s="187">
        <f>A916</f>
        <v>101</v>
      </c>
      <c r="B996" s="191">
        <f>INPUT!CF22</f>
        <v>1336.0083061051159</v>
      </c>
      <c r="C996" s="191">
        <f>INPUT!CG22</f>
        <v>1497.9916938948841</v>
      </c>
      <c r="D996" s="174">
        <f>D836</f>
        <v>22</v>
      </c>
      <c r="E996" s="174">
        <f>F836</f>
        <v>12</v>
      </c>
      <c r="F996" s="191">
        <f>MAX(B996-D996,C996-E996)</f>
        <v>1485.9916938948841</v>
      </c>
      <c r="G996" s="174">
        <f>IF(B996-D996&gt;=C996-E996,INPUT!H22*INPUT!I22*INPUT!J22,INPUT!K22*INPUT!L22)</f>
        <v>23235.974822151198</v>
      </c>
      <c r="H996" s="174">
        <f>MAX(ABS(INPUT!CH22),ABS(INPUT!CI22),INPUT!AO22)</f>
        <v>380</v>
      </c>
      <c r="I996" s="192">
        <f>MIN(INPUT!AQ22/H996,1)</f>
        <v>0.93421052631578949</v>
      </c>
      <c r="J996" s="174">
        <f>INPUT!O22</f>
        <v>12</v>
      </c>
      <c r="K996" s="191">
        <f>2*F996*J996/G996</f>
        <v>1.5348527843763364</v>
      </c>
      <c r="L996" s="194">
        <f>IF(INPUT!AQ22&gt;=INPUT!AO22,1,(12+K996*(3*I996-I996^3))/(12+2*K996))</f>
        <v>0.9987065011286681</v>
      </c>
      <c r="M996" s="4"/>
      <c r="N996" s="4"/>
    </row>
    <row r="997">
      <c r="A997" s="187">
        <f>A917</f>
        <v>101</v>
      </c>
      <c r="B997" s="191">
        <f>INPUT!CF23</f>
        <v>1336.0083061051159</v>
      </c>
      <c r="C997" s="191">
        <f>INPUT!CG23</f>
        <v>1497.9916938948841</v>
      </c>
      <c r="D997" s="174">
        <f>D837</f>
        <v>22</v>
      </c>
      <c r="E997" s="174">
        <f>F837</f>
        <v>12</v>
      </c>
      <c r="F997" s="191">
        <f>MAX(B997-D997,C997-E997)</f>
        <v>1485.9916938948841</v>
      </c>
      <c r="G997" s="174">
        <f>IF(B997-D997&gt;=C997-E997,INPUT!H23*INPUT!I23*INPUT!J23,INPUT!K23*INPUT!L23)</f>
        <v>23235.974822151198</v>
      </c>
      <c r="H997" s="174">
        <f>MAX(ABS(INPUT!CH23),ABS(INPUT!CI23),INPUT!AO23)</f>
        <v>380</v>
      </c>
      <c r="I997" s="192">
        <f>MIN(INPUT!AQ23/H997,1)</f>
        <v>0.93421052631578949</v>
      </c>
      <c r="J997" s="174">
        <f>INPUT!O23</f>
        <v>12</v>
      </c>
      <c r="K997" s="191">
        <f>2*F997*J997/G997</f>
        <v>1.5348527843763364</v>
      </c>
      <c r="L997" s="194">
        <f>IF(INPUT!AQ23&gt;=INPUT!AO23,1,(12+K997*(3*I997-I997^3))/(12+2*K997))</f>
        <v>0.9987065011286681</v>
      </c>
      <c r="M997" s="4"/>
      <c r="N997" s="4"/>
    </row>
    <row r="998">
      <c r="A998" s="187">
        <f>A918</f>
        <v>101</v>
      </c>
      <c r="B998" s="191">
        <f>INPUT!CF24</f>
        <v>1336.0083061051159</v>
      </c>
      <c r="C998" s="191">
        <f>INPUT!CG24</f>
        <v>1497.9916938948841</v>
      </c>
      <c r="D998" s="174">
        <f>D838</f>
        <v>22</v>
      </c>
      <c r="E998" s="174">
        <f>F838</f>
        <v>12</v>
      </c>
      <c r="F998" s="191">
        <f>MAX(B998-D998,C998-E998)</f>
        <v>1485.9916938948841</v>
      </c>
      <c r="G998" s="174">
        <f>IF(B998-D998&gt;=C998-E998,INPUT!H24*INPUT!I24*INPUT!J24,INPUT!K24*INPUT!L24)</f>
        <v>23235.974822151198</v>
      </c>
      <c r="H998" s="174">
        <f>MAX(ABS(INPUT!CH24),ABS(INPUT!CI24),INPUT!AO24)</f>
        <v>380</v>
      </c>
      <c r="I998" s="192">
        <f>MIN(INPUT!AQ24/H998,1)</f>
        <v>0.93421052631578949</v>
      </c>
      <c r="J998" s="174">
        <f>INPUT!O24</f>
        <v>12</v>
      </c>
      <c r="K998" s="191">
        <f>2*F998*J998/G998</f>
        <v>1.5348527843763364</v>
      </c>
      <c r="L998" s="194">
        <f>IF(INPUT!AQ24&gt;=INPUT!AO24,1,(12+K998*(3*I998-I998^3))/(12+2*K998))</f>
        <v>0.9987065011286681</v>
      </c>
      <c r="M998" s="4"/>
      <c r="N998" s="4"/>
    </row>
    <row r="999">
      <c r="A999" s="187">
        <f>A919</f>
        <v>101</v>
      </c>
      <c r="B999" s="191">
        <f>INPUT!CF25</f>
        <v>1336.0083061051159</v>
      </c>
      <c r="C999" s="191">
        <f>INPUT!CG25</f>
        <v>1497.9916938948841</v>
      </c>
      <c r="D999" s="174">
        <f>D839</f>
        <v>22</v>
      </c>
      <c r="E999" s="174">
        <f>F839</f>
        <v>12</v>
      </c>
      <c r="F999" s="191">
        <f>MAX(B999-D999,C999-E999)</f>
        <v>1485.9916938948841</v>
      </c>
      <c r="G999" s="174">
        <f>IF(B999-D999&gt;=C999-E999,INPUT!H25*INPUT!I25*INPUT!J25,INPUT!K25*INPUT!L25)</f>
        <v>23235.974822151198</v>
      </c>
      <c r="H999" s="174">
        <f>MAX(ABS(INPUT!CH25),ABS(INPUT!CI25),INPUT!AO25)</f>
        <v>380</v>
      </c>
      <c r="I999" s="192">
        <f>MIN(INPUT!AQ25/H999,1)</f>
        <v>0.93421052631578949</v>
      </c>
      <c r="J999" s="174">
        <f>INPUT!O25</f>
        <v>12</v>
      </c>
      <c r="K999" s="191">
        <f>2*F999*J999/G999</f>
        <v>1.5348527843763364</v>
      </c>
      <c r="L999" s="194">
        <f>IF(INPUT!AQ25&gt;=INPUT!AO25,1,(12+K999*(3*I999-I999^3))/(12+2*K999))</f>
        <v>0.9987065011286681</v>
      </c>
      <c r="M999" s="4"/>
      <c r="N999" s="4"/>
    </row>
    <row r="1000">
      <c r="A1000" s="187">
        <f>A920</f>
        <v>101</v>
      </c>
      <c r="B1000" s="191">
        <f>INPUT!CF26</f>
        <v>1336.0083061051159</v>
      </c>
      <c r="C1000" s="191">
        <f>INPUT!CG26</f>
        <v>1497.9916938948841</v>
      </c>
      <c r="D1000" s="174">
        <f>D840</f>
        <v>22</v>
      </c>
      <c r="E1000" s="174">
        <f>F840</f>
        <v>12</v>
      </c>
      <c r="F1000" s="191">
        <f>MAX(B1000-D1000,C1000-E1000)</f>
        <v>1485.9916938948841</v>
      </c>
      <c r="G1000" s="174">
        <f>IF(B1000-D1000&gt;=C1000-E1000,INPUT!H26*INPUT!I26*INPUT!J26,INPUT!K26*INPUT!L26)</f>
        <v>23235.974822151198</v>
      </c>
      <c r="H1000" s="174">
        <f>MAX(ABS(INPUT!CH26),ABS(INPUT!CI26),INPUT!AO26)</f>
        <v>380</v>
      </c>
      <c r="I1000" s="192">
        <f>MIN(INPUT!AQ26/H1000,1)</f>
        <v>0.93421052631578949</v>
      </c>
      <c r="J1000" s="174">
        <f>INPUT!O26</f>
        <v>12</v>
      </c>
      <c r="K1000" s="191">
        <f>2*F1000*J1000/G1000</f>
        <v>1.5348527843763364</v>
      </c>
      <c r="L1000" s="194">
        <f>IF(INPUT!AQ26&gt;=INPUT!AO26,1,(12+K1000*(3*I1000-I1000^3))/(12+2*K1000))</f>
        <v>0.9987065011286681</v>
      </c>
      <c r="M1000" s="4"/>
      <c r="N1000" s="4"/>
    </row>
    <row r="1001">
      <c r="A1001" s="187">
        <f>A921</f>
        <v>101</v>
      </c>
      <c r="B1001" s="191">
        <f>INPUT!CF27</f>
        <v>1336.0083061051159</v>
      </c>
      <c r="C1001" s="191">
        <f>INPUT!CG27</f>
        <v>1497.9916938948841</v>
      </c>
      <c r="D1001" s="174">
        <f>D841</f>
        <v>22</v>
      </c>
      <c r="E1001" s="174">
        <f>F841</f>
        <v>12</v>
      </c>
      <c r="F1001" s="191">
        <f>MAX(B1001-D1001,C1001-E1001)</f>
        <v>1485.9916938948841</v>
      </c>
      <c r="G1001" s="174">
        <f>IF(B1001-D1001&gt;=C1001-E1001,INPUT!H27*INPUT!I27*INPUT!J27,INPUT!K27*INPUT!L27)</f>
        <v>23235.974822151198</v>
      </c>
      <c r="H1001" s="174">
        <f>MAX(ABS(INPUT!CH27),ABS(INPUT!CI27),INPUT!AO27)</f>
        <v>380</v>
      </c>
      <c r="I1001" s="192">
        <f>MIN(INPUT!AQ27/H1001,1)</f>
        <v>0.93421052631578949</v>
      </c>
      <c r="J1001" s="174">
        <f>INPUT!O27</f>
        <v>12</v>
      </c>
      <c r="K1001" s="191">
        <f>2*F1001*J1001/G1001</f>
        <v>1.5348527843763364</v>
      </c>
      <c r="L1001" s="194">
        <f>IF(INPUT!AQ27&gt;=INPUT!AO27,1,(12+K1001*(3*I1001-I1001^3))/(12+2*K1001))</f>
        <v>0.9987065011286681</v>
      </c>
      <c r="M1001" s="4"/>
      <c r="N1001" s="4"/>
    </row>
    <row r="1002">
      <c r="A1002" s="187">
        <f>A922</f>
        <v>101</v>
      </c>
      <c r="B1002" s="191">
        <f>INPUT!CF28</f>
        <v>1336.0083061051159</v>
      </c>
      <c r="C1002" s="191">
        <f>INPUT!CG28</f>
        <v>1497.9916938948841</v>
      </c>
      <c r="D1002" s="174">
        <f>D842</f>
        <v>22</v>
      </c>
      <c r="E1002" s="174">
        <f>F842</f>
        <v>12</v>
      </c>
      <c r="F1002" s="191">
        <f>MAX(B1002-D1002,C1002-E1002)</f>
        <v>1485.9916938948841</v>
      </c>
      <c r="G1002" s="174">
        <f>IF(B1002-D1002&gt;=C1002-E1002,INPUT!H28*INPUT!I28*INPUT!J28,INPUT!K28*INPUT!L28)</f>
        <v>23235.974822151198</v>
      </c>
      <c r="H1002" s="174">
        <f>MAX(ABS(INPUT!CH28),ABS(INPUT!CI28),INPUT!AO28)</f>
        <v>380</v>
      </c>
      <c r="I1002" s="192">
        <f>MIN(INPUT!AQ28/H1002,1)</f>
        <v>0.93421052631578949</v>
      </c>
      <c r="J1002" s="174">
        <f>INPUT!O28</f>
        <v>12</v>
      </c>
      <c r="K1002" s="191">
        <f>2*F1002*J1002/G1002</f>
        <v>1.5348527843763364</v>
      </c>
      <c r="L1002" s="194">
        <f>IF(INPUT!AQ28&gt;=INPUT!AO28,1,(12+K1002*(3*I1002-I1002^3))/(12+2*K1002))</f>
        <v>0.9987065011286681</v>
      </c>
      <c r="M1002" s="4"/>
      <c r="N1002" s="4"/>
    </row>
    <row r="1003">
      <c r="A1003" s="187">
        <f>A923</f>
        <v>101</v>
      </c>
      <c r="B1003" s="191">
        <f>INPUT!CF29</f>
        <v>1336.0083061051159</v>
      </c>
      <c r="C1003" s="191">
        <f>INPUT!CG29</f>
        <v>1497.9916938948841</v>
      </c>
      <c r="D1003" s="174">
        <f>D843</f>
        <v>22</v>
      </c>
      <c r="E1003" s="174">
        <f>F843</f>
        <v>12</v>
      </c>
      <c r="F1003" s="191">
        <f>MAX(B1003-D1003,C1003-E1003)</f>
        <v>1485.9916938948841</v>
      </c>
      <c r="G1003" s="174">
        <f>IF(B1003-D1003&gt;=C1003-E1003,INPUT!H29*INPUT!I29*INPUT!J29,INPUT!K29*INPUT!L29)</f>
        <v>23235.974822151198</v>
      </c>
      <c r="H1003" s="174">
        <f>MAX(ABS(INPUT!CH29),ABS(INPUT!CI29),INPUT!AO29)</f>
        <v>380</v>
      </c>
      <c r="I1003" s="192">
        <f>MIN(INPUT!AQ29/H1003,1)</f>
        <v>0.93421052631578949</v>
      </c>
      <c r="J1003" s="174">
        <f>INPUT!O29</f>
        <v>12</v>
      </c>
      <c r="K1003" s="191">
        <f>2*F1003*J1003/G1003</f>
        <v>1.5348527843763364</v>
      </c>
      <c r="L1003" s="194">
        <f>IF(INPUT!AQ29&gt;=INPUT!AO29,1,(12+K1003*(3*I1003-I1003^3))/(12+2*K1003))</f>
        <v>0.9987065011286681</v>
      </c>
      <c r="M1003" s="4"/>
      <c r="N1003" s="4"/>
    </row>
    <row r="1004">
      <c r="A1004" s="187">
        <f>A924</f>
        <v>101</v>
      </c>
      <c r="B1004" s="191">
        <f>INPUT!CF30</f>
        <v>1336.0083061051159</v>
      </c>
      <c r="C1004" s="191">
        <f>INPUT!CG30</f>
        <v>1497.9916938948841</v>
      </c>
      <c r="D1004" s="174">
        <f>D844</f>
        <v>22</v>
      </c>
      <c r="E1004" s="174">
        <f>F844</f>
        <v>12</v>
      </c>
      <c r="F1004" s="191">
        <f>MAX(B1004-D1004,C1004-E1004)</f>
        <v>1485.9916938948841</v>
      </c>
      <c r="G1004" s="174">
        <f>IF(B1004-D1004&gt;=C1004-E1004,INPUT!H30*INPUT!I30*INPUT!J30,INPUT!K30*INPUT!L30)</f>
        <v>23235.974822151198</v>
      </c>
      <c r="H1004" s="174">
        <f>MAX(ABS(INPUT!CH30),ABS(INPUT!CI30),INPUT!AO30)</f>
        <v>380</v>
      </c>
      <c r="I1004" s="192">
        <f>MIN(INPUT!AQ30/H1004,1)</f>
        <v>0.93421052631578949</v>
      </c>
      <c r="J1004" s="174">
        <f>INPUT!O30</f>
        <v>12</v>
      </c>
      <c r="K1004" s="191">
        <f>2*F1004*J1004/G1004</f>
        <v>1.5348527843763364</v>
      </c>
      <c r="L1004" s="194">
        <f>IF(INPUT!AQ30&gt;=INPUT!AO30,1,(12+K1004*(3*I1004-I1004^3))/(12+2*K1004))</f>
        <v>0.9987065011286681</v>
      </c>
      <c r="M1004" s="4"/>
      <c r="N1004" s="4"/>
    </row>
    <row r="1005">
      <c r="A1005" s="187">
        <f>A925</f>
        <v>101</v>
      </c>
      <c r="B1005" s="191">
        <f>INPUT!CF31</f>
        <v>1336.0083061051159</v>
      </c>
      <c r="C1005" s="191">
        <f>INPUT!CG31</f>
        <v>1497.9916938948841</v>
      </c>
      <c r="D1005" s="174">
        <f>D845</f>
        <v>22</v>
      </c>
      <c r="E1005" s="174">
        <f>F845</f>
        <v>12</v>
      </c>
      <c r="F1005" s="191">
        <f>MAX(B1005-D1005,C1005-E1005)</f>
        <v>1485.9916938948841</v>
      </c>
      <c r="G1005" s="174">
        <f>IF(B1005-D1005&gt;=C1005-E1005,INPUT!H31*INPUT!I31*INPUT!J31,INPUT!K31*INPUT!L31)</f>
        <v>23235.974822151198</v>
      </c>
      <c r="H1005" s="174">
        <f>MAX(ABS(INPUT!CH31),ABS(INPUT!CI31),INPUT!AO31)</f>
        <v>380</v>
      </c>
      <c r="I1005" s="192">
        <f>MIN(INPUT!AQ31/H1005,1)</f>
        <v>0.93421052631578949</v>
      </c>
      <c r="J1005" s="174">
        <f>INPUT!O31</f>
        <v>12</v>
      </c>
      <c r="K1005" s="191">
        <f>2*F1005*J1005/G1005</f>
        <v>1.5348527843763364</v>
      </c>
      <c r="L1005" s="194">
        <f>IF(INPUT!AQ31&gt;=INPUT!AO31,1,(12+K1005*(3*I1005-I1005^3))/(12+2*K1005))</f>
        <v>0.9987065011286681</v>
      </c>
      <c r="M1005" s="4"/>
      <c r="N1005" s="4"/>
    </row>
    <row r="1006">
      <c r="A1006" s="187">
        <f>A926</f>
        <v>101</v>
      </c>
      <c r="B1006" s="191">
        <f>INPUT!CF32</f>
        <v>1336.0083061051159</v>
      </c>
      <c r="C1006" s="191">
        <f>INPUT!CG32</f>
        <v>1497.9916938948841</v>
      </c>
      <c r="D1006" s="174">
        <f>D846</f>
        <v>22</v>
      </c>
      <c r="E1006" s="174">
        <f>F846</f>
        <v>12</v>
      </c>
      <c r="F1006" s="191">
        <f>MAX(B1006-D1006,C1006-E1006)</f>
        <v>1485.9916938948841</v>
      </c>
      <c r="G1006" s="174">
        <f>IF(B1006-D1006&gt;=C1006-E1006,INPUT!H32*INPUT!I32*INPUT!J32,INPUT!K32*INPUT!L32)</f>
        <v>23235.974822151198</v>
      </c>
      <c r="H1006" s="174">
        <f>MAX(ABS(INPUT!CH32),ABS(INPUT!CI32),INPUT!AO32)</f>
        <v>380</v>
      </c>
      <c r="I1006" s="192">
        <f>MIN(INPUT!AQ32/H1006,1)</f>
        <v>0.93421052631578949</v>
      </c>
      <c r="J1006" s="174">
        <f>INPUT!O32</f>
        <v>12</v>
      </c>
      <c r="K1006" s="191">
        <f>2*F1006*J1006/G1006</f>
        <v>1.5348527843763364</v>
      </c>
      <c r="L1006" s="194">
        <f>IF(INPUT!AQ32&gt;=INPUT!AO32,1,(12+K1006*(3*I1006-I1006^3))/(12+2*K1006))</f>
        <v>0.9987065011286681</v>
      </c>
      <c r="M1006" s="4"/>
      <c r="N1006" s="4"/>
    </row>
    <row r="1007">
      <c r="A1007" s="187">
        <f>A927</f>
        <v>101</v>
      </c>
      <c r="B1007" s="191">
        <f>INPUT!CF33</f>
        <v>1336.0083061051159</v>
      </c>
      <c r="C1007" s="191">
        <f>INPUT!CG33</f>
        <v>1497.9916938948841</v>
      </c>
      <c r="D1007" s="174">
        <f>D847</f>
        <v>22</v>
      </c>
      <c r="E1007" s="174">
        <f>F847</f>
        <v>12</v>
      </c>
      <c r="F1007" s="191">
        <f>MAX(B1007-D1007,C1007-E1007)</f>
        <v>1485.9916938948841</v>
      </c>
      <c r="G1007" s="174">
        <f>IF(B1007-D1007&gt;=C1007-E1007,INPUT!H33*INPUT!I33*INPUT!J33,INPUT!K33*INPUT!L33)</f>
        <v>23235.974822151198</v>
      </c>
      <c r="H1007" s="174">
        <f>MAX(ABS(INPUT!CH33),ABS(INPUT!CI33),INPUT!AO33)</f>
        <v>380</v>
      </c>
      <c r="I1007" s="192">
        <f>MIN(INPUT!AQ33/H1007,1)</f>
        <v>0.93421052631578949</v>
      </c>
      <c r="J1007" s="174">
        <f>INPUT!O33</f>
        <v>12</v>
      </c>
      <c r="K1007" s="191">
        <f>2*F1007*J1007/G1007</f>
        <v>1.5348527843763364</v>
      </c>
      <c r="L1007" s="194">
        <f>IF(INPUT!AQ33&gt;=INPUT!AO33,1,(12+K1007*(3*I1007-I1007^3))/(12+2*K1007))</f>
        <v>0.9987065011286681</v>
      </c>
      <c r="M1007" s="4"/>
      <c r="N1007" s="4"/>
    </row>
    <row r="1008">
      <c r="A1008" s="187">
        <f>A928</f>
        <v>101</v>
      </c>
      <c r="B1008" s="191">
        <f>INPUT!CF34</f>
        <v>1336.0083061051159</v>
      </c>
      <c r="C1008" s="191">
        <f>INPUT!CG34</f>
        <v>1497.9916938948841</v>
      </c>
      <c r="D1008" s="174">
        <f>D848</f>
        <v>22</v>
      </c>
      <c r="E1008" s="174">
        <f>F848</f>
        <v>12</v>
      </c>
      <c r="F1008" s="191">
        <f>MAX(B1008-D1008,C1008-E1008)</f>
        <v>1485.9916938948841</v>
      </c>
      <c r="G1008" s="174">
        <f>IF(B1008-D1008&gt;=C1008-E1008,INPUT!H34*INPUT!I34*INPUT!J34,INPUT!K34*INPUT!L34)</f>
        <v>23235.974822151198</v>
      </c>
      <c r="H1008" s="174">
        <f>MAX(ABS(INPUT!CH34),ABS(INPUT!CI34),INPUT!AO34)</f>
        <v>380</v>
      </c>
      <c r="I1008" s="192">
        <f>MIN(INPUT!AQ34/H1008,1)</f>
        <v>0.93421052631578949</v>
      </c>
      <c r="J1008" s="174">
        <f>INPUT!O34</f>
        <v>12</v>
      </c>
      <c r="K1008" s="191">
        <f>2*F1008*J1008/G1008</f>
        <v>1.5348527843763364</v>
      </c>
      <c r="L1008" s="194">
        <f>IF(INPUT!AQ34&gt;=INPUT!AO34,1,(12+K1008*(3*I1008-I1008^3))/(12+2*K1008))</f>
        <v>0.9987065011286681</v>
      </c>
      <c r="M1008" s="4"/>
      <c r="N1008" s="4"/>
    </row>
    <row r="1009">
      <c r="A1009" s="187">
        <f>A929</f>
        <v>101</v>
      </c>
      <c r="B1009" s="191">
        <f>INPUT!CF35</f>
        <v>1336.0083061051159</v>
      </c>
      <c r="C1009" s="191">
        <f>INPUT!CG35</f>
        <v>1497.9916938948841</v>
      </c>
      <c r="D1009" s="174">
        <f>D849</f>
        <v>22</v>
      </c>
      <c r="E1009" s="174">
        <f>F849</f>
        <v>12</v>
      </c>
      <c r="F1009" s="191">
        <f>MAX(B1009-D1009,C1009-E1009)</f>
        <v>1485.9916938948841</v>
      </c>
      <c r="G1009" s="174">
        <f>IF(B1009-D1009&gt;=C1009-E1009,INPUT!H35*INPUT!I35*INPUT!J35,INPUT!K35*INPUT!L35)</f>
        <v>23235.974822151198</v>
      </c>
      <c r="H1009" s="174">
        <f>MAX(ABS(INPUT!CH35),ABS(INPUT!CI35),INPUT!AO35)</f>
        <v>380</v>
      </c>
      <c r="I1009" s="192">
        <f>MIN(INPUT!AQ35/H1009,1)</f>
        <v>0.93421052631578949</v>
      </c>
      <c r="J1009" s="174">
        <f>INPUT!O35</f>
        <v>12</v>
      </c>
      <c r="K1009" s="191">
        <f>2*F1009*J1009/G1009</f>
        <v>1.5348527843763364</v>
      </c>
      <c r="L1009" s="194">
        <f>IF(INPUT!AQ35&gt;=INPUT!AO35,1,(12+K1009*(3*I1009-I1009^3))/(12+2*K1009))</f>
        <v>0.9987065011286681</v>
      </c>
      <c r="M1009" s="4"/>
      <c r="N1009" s="4"/>
    </row>
    <row r="1010">
      <c r="A1010" s="187">
        <f>A930</f>
        <v>101</v>
      </c>
      <c r="B1010" s="191">
        <f>INPUT!CF36</f>
        <v>1336.0083061051159</v>
      </c>
      <c r="C1010" s="191">
        <f>INPUT!CG36</f>
        <v>1497.9916938948841</v>
      </c>
      <c r="D1010" s="174">
        <f>D850</f>
        <v>22</v>
      </c>
      <c r="E1010" s="174">
        <f>F850</f>
        <v>12</v>
      </c>
      <c r="F1010" s="191">
        <f>MAX(B1010-D1010,C1010-E1010)</f>
        <v>1485.9916938948841</v>
      </c>
      <c r="G1010" s="174">
        <f>IF(B1010-D1010&gt;=C1010-E1010,INPUT!H36*INPUT!I36*INPUT!J36,INPUT!K36*INPUT!L36)</f>
        <v>23235.974822151198</v>
      </c>
      <c r="H1010" s="174">
        <f>MAX(ABS(INPUT!CH36),ABS(INPUT!CI36),INPUT!AO36)</f>
        <v>380</v>
      </c>
      <c r="I1010" s="192">
        <f>MIN(INPUT!AQ36/H1010,1)</f>
        <v>0.93421052631578949</v>
      </c>
      <c r="J1010" s="174">
        <f>INPUT!O36</f>
        <v>12</v>
      </c>
      <c r="K1010" s="191">
        <f>2*F1010*J1010/G1010</f>
        <v>1.5348527843763364</v>
      </c>
      <c r="L1010" s="194">
        <f>IF(INPUT!AQ36&gt;=INPUT!AO36,1,(12+K1010*(3*I1010-I1010^3))/(12+2*K1010))</f>
        <v>0.9987065011286681</v>
      </c>
      <c r="M1010" s="4"/>
      <c r="N1010" s="4"/>
    </row>
    <row r="1011">
      <c r="A1011" s="187">
        <f>A931</f>
        <v>101</v>
      </c>
      <c r="B1011" s="191">
        <f>INPUT!CF37</f>
        <v>1336.0083061051159</v>
      </c>
      <c r="C1011" s="191">
        <f>INPUT!CG37</f>
        <v>1497.9916938948841</v>
      </c>
      <c r="D1011" s="174">
        <f>D851</f>
        <v>22</v>
      </c>
      <c r="E1011" s="174">
        <f>F851</f>
        <v>12</v>
      </c>
      <c r="F1011" s="191">
        <f>MAX(B1011-D1011,C1011-E1011)</f>
        <v>1485.9916938948841</v>
      </c>
      <c r="G1011" s="174">
        <f>IF(B1011-D1011&gt;=C1011-E1011,INPUT!H37*INPUT!I37*INPUT!J37,INPUT!K37*INPUT!L37)</f>
        <v>23235.974822151198</v>
      </c>
      <c r="H1011" s="174">
        <f>MAX(ABS(INPUT!CH37),ABS(INPUT!CI37),INPUT!AO37)</f>
        <v>380</v>
      </c>
      <c r="I1011" s="192">
        <f>MIN(INPUT!AQ37/H1011,1)</f>
        <v>0.93421052631578949</v>
      </c>
      <c r="J1011" s="174">
        <f>INPUT!O37</f>
        <v>12</v>
      </c>
      <c r="K1011" s="191">
        <f>2*F1011*J1011/G1011</f>
        <v>1.5348527843763364</v>
      </c>
      <c r="L1011" s="194">
        <f>IF(INPUT!AQ37&gt;=INPUT!AO37,1,(12+K1011*(3*I1011-I1011^3))/(12+2*K1011))</f>
        <v>0.9987065011286681</v>
      </c>
      <c r="M1011" s="4"/>
      <c r="N1011" s="4"/>
    </row>
    <row r="1012">
      <c r="A1012" s="187">
        <f>A932</f>
        <v>101</v>
      </c>
      <c r="B1012" s="191">
        <f>INPUT!CF38</f>
        <v>1336.0083061051159</v>
      </c>
      <c r="C1012" s="191">
        <f>INPUT!CG38</f>
        <v>1497.9916938948841</v>
      </c>
      <c r="D1012" s="174">
        <f>D852</f>
        <v>22</v>
      </c>
      <c r="E1012" s="174">
        <f>F852</f>
        <v>12</v>
      </c>
      <c r="F1012" s="191">
        <f>MAX(B1012-D1012,C1012-E1012)</f>
        <v>1485.9916938948841</v>
      </c>
      <c r="G1012" s="174">
        <f>IF(B1012-D1012&gt;=C1012-E1012,INPUT!H38*INPUT!I38*INPUT!J38,INPUT!K38*INPUT!L38)</f>
        <v>23235.974822151198</v>
      </c>
      <c r="H1012" s="174">
        <f>MAX(ABS(INPUT!CH38),ABS(INPUT!CI38),INPUT!AO38)</f>
        <v>380</v>
      </c>
      <c r="I1012" s="192">
        <f>MIN(INPUT!AQ38/H1012,1)</f>
        <v>0.93421052631578949</v>
      </c>
      <c r="J1012" s="174">
        <f>INPUT!O38</f>
        <v>12</v>
      </c>
      <c r="K1012" s="191">
        <f>2*F1012*J1012/G1012</f>
        <v>1.5348527843763364</v>
      </c>
      <c r="L1012" s="194">
        <f>IF(INPUT!AQ38&gt;=INPUT!AO38,1,(12+K1012*(3*I1012-I1012^3))/(12+2*K1012))</f>
        <v>0.9987065011286681</v>
      </c>
      <c r="M1012" s="4"/>
      <c r="N1012" s="4"/>
    </row>
    <row r="1013">
      <c r="A1013" s="187">
        <f>A933</f>
        <v>101</v>
      </c>
      <c r="B1013" s="191">
        <f>INPUT!CF39</f>
        <v>1336.0083061051159</v>
      </c>
      <c r="C1013" s="191">
        <f>INPUT!CG39</f>
        <v>1497.9916938948841</v>
      </c>
      <c r="D1013" s="174">
        <f>D853</f>
        <v>22</v>
      </c>
      <c r="E1013" s="174">
        <f>F853</f>
        <v>12</v>
      </c>
      <c r="F1013" s="191">
        <f>MAX(B1013-D1013,C1013-E1013)</f>
        <v>1485.9916938948841</v>
      </c>
      <c r="G1013" s="174">
        <f>IF(B1013-D1013&gt;=C1013-E1013,INPUT!H39*INPUT!I39*INPUT!J39,INPUT!K39*INPUT!L39)</f>
        <v>23235.974822151198</v>
      </c>
      <c r="H1013" s="174">
        <f>MAX(ABS(INPUT!CH39),ABS(INPUT!CI39),INPUT!AO39)</f>
        <v>380</v>
      </c>
      <c r="I1013" s="192">
        <f>MIN(INPUT!AQ39/H1013,1)</f>
        <v>0.93421052631578949</v>
      </c>
      <c r="J1013" s="174">
        <f>INPUT!O39</f>
        <v>12</v>
      </c>
      <c r="K1013" s="191">
        <f>2*F1013*J1013/G1013</f>
        <v>1.5348527843763364</v>
      </c>
      <c r="L1013" s="194">
        <f>IF(INPUT!AQ39&gt;=INPUT!AO39,1,(12+K1013*(3*I1013-I1013^3))/(12+2*K1013))</f>
        <v>0.9987065011286681</v>
      </c>
      <c r="M1013" s="4"/>
      <c r="N1013" s="4"/>
    </row>
    <row r="1014">
      <c r="A1014" s="187">
        <f>A934</f>
        <v>101</v>
      </c>
      <c r="B1014" s="191">
        <f>INPUT!CF40</f>
        <v>1336.0083061051159</v>
      </c>
      <c r="C1014" s="191">
        <f>INPUT!CG40</f>
        <v>1497.9916938948841</v>
      </c>
      <c r="D1014" s="174">
        <f>D854</f>
        <v>22</v>
      </c>
      <c r="E1014" s="174">
        <f>F854</f>
        <v>12</v>
      </c>
      <c r="F1014" s="191">
        <f>MAX(B1014-D1014,C1014-E1014)</f>
        <v>1485.9916938948841</v>
      </c>
      <c r="G1014" s="174">
        <f>IF(B1014-D1014&gt;=C1014-E1014,INPUT!H40*INPUT!I40*INPUT!J40,INPUT!K40*INPUT!L40)</f>
        <v>23235.974822151198</v>
      </c>
      <c r="H1014" s="174">
        <f>MAX(ABS(INPUT!CH40),ABS(INPUT!CI40),INPUT!AO40)</f>
        <v>380</v>
      </c>
      <c r="I1014" s="192">
        <f>MIN(INPUT!AQ40/H1014,1)</f>
        <v>0.93421052631578949</v>
      </c>
      <c r="J1014" s="174">
        <f>INPUT!O40</f>
        <v>12</v>
      </c>
      <c r="K1014" s="191">
        <f>2*F1014*J1014/G1014</f>
        <v>1.5348527843763364</v>
      </c>
      <c r="L1014" s="194">
        <f>IF(INPUT!AQ40&gt;=INPUT!AO40,1,(12+K1014*(3*I1014-I1014^3))/(12+2*K1014))</f>
        <v>0.9987065011286681</v>
      </c>
      <c r="M1014" s="4"/>
      <c r="N1014" s="4"/>
    </row>
    <row r="1015">
      <c r="A1015" s="187">
        <f>A935</f>
        <v>101</v>
      </c>
      <c r="B1015" s="191">
        <f>INPUT!CF41</f>
        <v>1336.0083061051159</v>
      </c>
      <c r="C1015" s="191">
        <f>INPUT!CG41</f>
        <v>1497.9916938948841</v>
      </c>
      <c r="D1015" s="174">
        <f>D855</f>
        <v>22</v>
      </c>
      <c r="E1015" s="174">
        <f>F855</f>
        <v>12</v>
      </c>
      <c r="F1015" s="191">
        <f>MAX(B1015-D1015,C1015-E1015)</f>
        <v>1485.9916938948841</v>
      </c>
      <c r="G1015" s="174">
        <f>IF(B1015-D1015&gt;=C1015-E1015,INPUT!H41*INPUT!I41*INPUT!J41,INPUT!K41*INPUT!L41)</f>
        <v>23235.974822151198</v>
      </c>
      <c r="H1015" s="174">
        <f>MAX(ABS(INPUT!CH41),ABS(INPUT!CI41),INPUT!AO41)</f>
        <v>380</v>
      </c>
      <c r="I1015" s="192">
        <f>MIN(INPUT!AQ41/H1015,1)</f>
        <v>0.93421052631578949</v>
      </c>
      <c r="J1015" s="174">
        <f>INPUT!O41</f>
        <v>12</v>
      </c>
      <c r="K1015" s="191">
        <f>2*F1015*J1015/G1015</f>
        <v>1.5348527843763364</v>
      </c>
      <c r="L1015" s="194">
        <f>IF(INPUT!AQ41&gt;=INPUT!AO41,1,(12+K1015*(3*I1015-I1015^3))/(12+2*K1015))</f>
        <v>0.9987065011286681</v>
      </c>
      <c r="M1015" s="4"/>
      <c r="N1015" s="4"/>
    </row>
    <row r="1016">
      <c r="A1016" s="187">
        <f>A936</f>
        <v>101</v>
      </c>
      <c r="B1016" s="191">
        <f>INPUT!CF42</f>
        <v>1336.0083061051159</v>
      </c>
      <c r="C1016" s="191">
        <f>INPUT!CG42</f>
        <v>1497.9916938948841</v>
      </c>
      <c r="D1016" s="174">
        <f>D856</f>
        <v>22</v>
      </c>
      <c r="E1016" s="174">
        <f>F856</f>
        <v>12</v>
      </c>
      <c r="F1016" s="191">
        <f>MAX(B1016-D1016,C1016-E1016)</f>
        <v>1485.9916938948841</v>
      </c>
      <c r="G1016" s="174">
        <f>IF(B1016-D1016&gt;=C1016-E1016,INPUT!H42*INPUT!I42*INPUT!J42,INPUT!K42*INPUT!L42)</f>
        <v>23235.974822151198</v>
      </c>
      <c r="H1016" s="174">
        <f>MAX(ABS(INPUT!CH42),ABS(INPUT!CI42),INPUT!AO42)</f>
        <v>380</v>
      </c>
      <c r="I1016" s="192">
        <f>MIN(INPUT!AQ42/H1016,1)</f>
        <v>0.93421052631578949</v>
      </c>
      <c r="J1016" s="174">
        <f>INPUT!O42</f>
        <v>12</v>
      </c>
      <c r="K1016" s="191">
        <f>2*F1016*J1016/G1016</f>
        <v>1.5348527843763364</v>
      </c>
      <c r="L1016" s="194">
        <f>IF(INPUT!AQ42&gt;=INPUT!AO42,1,(12+K1016*(3*I1016-I1016^3))/(12+2*K1016))</f>
        <v>0.9987065011286681</v>
      </c>
      <c r="M1016" s="4"/>
      <c r="N1016" s="4"/>
    </row>
    <row r="1017">
      <c r="A1017" s="187">
        <f>A937</f>
        <v>101</v>
      </c>
      <c r="B1017" s="191">
        <f>INPUT!CF43</f>
        <v>1336.0083061051159</v>
      </c>
      <c r="C1017" s="191">
        <f>INPUT!CG43</f>
        <v>1497.9916938948841</v>
      </c>
      <c r="D1017" s="174">
        <f>D857</f>
        <v>22</v>
      </c>
      <c r="E1017" s="174">
        <f>F857</f>
        <v>12</v>
      </c>
      <c r="F1017" s="191">
        <f>MAX(B1017-D1017,C1017-E1017)</f>
        <v>1485.9916938948841</v>
      </c>
      <c r="G1017" s="174">
        <f>IF(B1017-D1017&gt;=C1017-E1017,INPUT!H43*INPUT!I43*INPUT!J43,INPUT!K43*INPUT!L43)</f>
        <v>23235.974822151198</v>
      </c>
      <c r="H1017" s="174">
        <f>MAX(ABS(INPUT!CH43),ABS(INPUT!CI43),INPUT!AO43)</f>
        <v>380</v>
      </c>
      <c r="I1017" s="192">
        <f>MIN(INPUT!AQ43/H1017,1)</f>
        <v>0.93421052631578949</v>
      </c>
      <c r="J1017" s="174">
        <f>INPUT!O43</f>
        <v>12</v>
      </c>
      <c r="K1017" s="191">
        <f>2*F1017*J1017/G1017</f>
        <v>1.5348527843763364</v>
      </c>
      <c r="L1017" s="194">
        <f>IF(INPUT!AQ43&gt;=INPUT!AO43,1,(12+K1017*(3*I1017-I1017^3))/(12+2*K1017))</f>
        <v>0.9987065011286681</v>
      </c>
      <c r="M1017" s="4"/>
      <c r="N1017" s="4"/>
    </row>
    <row r="1018">
      <c r="A1018" s="187">
        <f>A938</f>
        <v>101</v>
      </c>
      <c r="B1018" s="191">
        <f>INPUT!CF44</f>
        <v>1336.0083061051159</v>
      </c>
      <c r="C1018" s="191">
        <f>INPUT!CG44</f>
        <v>1497.9916938948841</v>
      </c>
      <c r="D1018" s="174">
        <f>D858</f>
        <v>22</v>
      </c>
      <c r="E1018" s="174">
        <f>F858</f>
        <v>12</v>
      </c>
      <c r="F1018" s="191">
        <f>MAX(B1018-D1018,C1018-E1018)</f>
        <v>1485.9916938948841</v>
      </c>
      <c r="G1018" s="174">
        <f>IF(B1018-D1018&gt;=C1018-E1018,INPUT!H44*INPUT!I44*INPUT!J44,INPUT!K44*INPUT!L44)</f>
        <v>23235.974822151198</v>
      </c>
      <c r="H1018" s="174">
        <f>MAX(ABS(INPUT!CH44),ABS(INPUT!CI44),INPUT!AO44)</f>
        <v>380</v>
      </c>
      <c r="I1018" s="192">
        <f>MIN(INPUT!AQ44/H1018,1)</f>
        <v>0.93421052631578949</v>
      </c>
      <c r="J1018" s="174">
        <f>INPUT!O44</f>
        <v>12</v>
      </c>
      <c r="K1018" s="191">
        <f>2*F1018*J1018/G1018</f>
        <v>1.5348527843763364</v>
      </c>
      <c r="L1018" s="194">
        <f>IF(INPUT!AQ44&gt;=INPUT!AO44,1,(12+K1018*(3*I1018-I1018^3))/(12+2*K1018))</f>
        <v>0.9987065011286681</v>
      </c>
      <c r="M1018" s="4"/>
      <c r="N1018" s="4"/>
    </row>
    <row r="1019">
      <c r="A1019" s="187">
        <f>A939</f>
        <v>101</v>
      </c>
      <c r="B1019" s="191">
        <f>INPUT!CF45</f>
        <v>1336.0083061051159</v>
      </c>
      <c r="C1019" s="191">
        <f>INPUT!CG45</f>
        <v>1497.9916938948841</v>
      </c>
      <c r="D1019" s="174">
        <f>D859</f>
        <v>22</v>
      </c>
      <c r="E1019" s="174">
        <f>F859</f>
        <v>12</v>
      </c>
      <c r="F1019" s="191">
        <f>MAX(B1019-D1019,C1019-E1019)</f>
        <v>1485.9916938948841</v>
      </c>
      <c r="G1019" s="174">
        <f>IF(B1019-D1019&gt;=C1019-E1019,INPUT!H45*INPUT!I45*INPUT!J45,INPUT!K45*INPUT!L45)</f>
        <v>23235.974822151198</v>
      </c>
      <c r="H1019" s="174">
        <f>MAX(ABS(INPUT!CH45),ABS(INPUT!CI45),INPUT!AO45)</f>
        <v>380</v>
      </c>
      <c r="I1019" s="192">
        <f>MIN(INPUT!AQ45/H1019,1)</f>
        <v>0.93421052631578949</v>
      </c>
      <c r="J1019" s="174">
        <f>INPUT!O45</f>
        <v>12</v>
      </c>
      <c r="K1019" s="191">
        <f>2*F1019*J1019/G1019</f>
        <v>1.5348527843763364</v>
      </c>
      <c r="L1019" s="194">
        <f>IF(INPUT!AQ45&gt;=INPUT!AO45,1,(12+K1019*(3*I1019-I1019^3))/(12+2*K1019))</f>
        <v>0.9987065011286681</v>
      </c>
      <c r="M1019" s="4"/>
      <c r="N1019" s="4"/>
    </row>
    <row r="1020">
      <c r="A1020" s="187">
        <f>A940</f>
        <v>101</v>
      </c>
      <c r="B1020" s="191">
        <f>INPUT!CF46</f>
        <v>1336.0083061051159</v>
      </c>
      <c r="C1020" s="191">
        <f>INPUT!CG46</f>
        <v>1497.9916938948841</v>
      </c>
      <c r="D1020" s="174">
        <f>D860</f>
        <v>22</v>
      </c>
      <c r="E1020" s="174">
        <f>F860</f>
        <v>12</v>
      </c>
      <c r="F1020" s="191">
        <f>MAX(B1020-D1020,C1020-E1020)</f>
        <v>1485.9916938948841</v>
      </c>
      <c r="G1020" s="174">
        <f>IF(B1020-D1020&gt;=C1020-E1020,INPUT!H46*INPUT!I46*INPUT!J46,INPUT!K46*INPUT!L46)</f>
        <v>23235.974822151198</v>
      </c>
      <c r="H1020" s="174">
        <f>MAX(ABS(INPUT!CH46),ABS(INPUT!CI46),INPUT!AO46)</f>
        <v>380</v>
      </c>
      <c r="I1020" s="192">
        <f>MIN(INPUT!AQ46/H1020,1)</f>
        <v>0.93421052631578949</v>
      </c>
      <c r="J1020" s="174">
        <f>INPUT!O46</f>
        <v>12</v>
      </c>
      <c r="K1020" s="191">
        <f>2*F1020*J1020/G1020</f>
        <v>1.5348527843763364</v>
      </c>
      <c r="L1020" s="194">
        <f>IF(INPUT!AQ46&gt;=INPUT!AO46,1,(12+K1020*(3*I1020-I1020^3))/(12+2*K1020))</f>
        <v>0.9987065011286681</v>
      </c>
      <c r="M1020" s="4"/>
      <c r="N1020" s="4"/>
    </row>
    <row r="1021">
      <c r="A1021" s="187">
        <f>A941</f>
        <v>101</v>
      </c>
      <c r="B1021" s="191">
        <f>INPUT!CF47</f>
        <v>1336.0083061051159</v>
      </c>
      <c r="C1021" s="191">
        <f>INPUT!CG47</f>
        <v>1497.9916938948841</v>
      </c>
      <c r="D1021" s="174">
        <f>D861</f>
        <v>22</v>
      </c>
      <c r="E1021" s="174">
        <f>F861</f>
        <v>12</v>
      </c>
      <c r="F1021" s="191">
        <f>MAX(B1021-D1021,C1021-E1021)</f>
        <v>1485.9916938948841</v>
      </c>
      <c r="G1021" s="174">
        <f>IF(B1021-D1021&gt;=C1021-E1021,INPUT!H47*INPUT!I47*INPUT!J47,INPUT!K47*INPUT!L47)</f>
        <v>23235.974822151198</v>
      </c>
      <c r="H1021" s="174">
        <f>MAX(ABS(INPUT!CH47),ABS(INPUT!CI47),INPUT!AO47)</f>
        <v>380</v>
      </c>
      <c r="I1021" s="192">
        <f>MIN(INPUT!AQ47/H1021,1)</f>
        <v>0.93421052631578949</v>
      </c>
      <c r="J1021" s="174">
        <f>INPUT!O47</f>
        <v>12</v>
      </c>
      <c r="K1021" s="191">
        <f>2*F1021*J1021/G1021</f>
        <v>1.5348527843763364</v>
      </c>
      <c r="L1021" s="194">
        <f>IF(INPUT!AQ47&gt;=INPUT!AO47,1,(12+K1021*(3*I1021-I1021^3))/(12+2*K1021))</f>
        <v>0.9987065011286681</v>
      </c>
      <c r="M1021" s="4"/>
      <c r="N1021" s="4"/>
    </row>
    <row r="1022">
      <c r="A1022" s="187">
        <f>A942</f>
        <v>101</v>
      </c>
      <c r="B1022" s="191">
        <f>INPUT!CF48</f>
        <v>1336.0083061051159</v>
      </c>
      <c r="C1022" s="191">
        <f>INPUT!CG48</f>
        <v>1497.9916938948841</v>
      </c>
      <c r="D1022" s="174">
        <f>D862</f>
        <v>22</v>
      </c>
      <c r="E1022" s="174">
        <f>F862</f>
        <v>12</v>
      </c>
      <c r="F1022" s="191">
        <f>MAX(B1022-D1022,C1022-E1022)</f>
        <v>1485.9916938948841</v>
      </c>
      <c r="G1022" s="174">
        <f>IF(B1022-D1022&gt;=C1022-E1022,INPUT!H48*INPUT!I48*INPUT!J48,INPUT!K48*INPUT!L48)</f>
        <v>23235.974822151198</v>
      </c>
      <c r="H1022" s="174">
        <f>MAX(ABS(INPUT!CH48),ABS(INPUT!CI48),INPUT!AO48)</f>
        <v>380</v>
      </c>
      <c r="I1022" s="192">
        <f>MIN(INPUT!AQ48/H1022,1)</f>
        <v>0.93421052631578949</v>
      </c>
      <c r="J1022" s="174">
        <f>INPUT!O48</f>
        <v>12</v>
      </c>
      <c r="K1022" s="191">
        <f>2*F1022*J1022/G1022</f>
        <v>1.5348527843763364</v>
      </c>
      <c r="L1022" s="194">
        <f>IF(INPUT!AQ48&gt;=INPUT!AO48,1,(12+K1022*(3*I1022-I1022^3))/(12+2*K1022))</f>
        <v>0.9987065011286681</v>
      </c>
      <c r="M1022" s="4"/>
      <c r="N1022" s="4"/>
    </row>
    <row r="1023">
      <c r="A1023" s="187">
        <f>A943</f>
        <v>101</v>
      </c>
      <c r="B1023" s="191">
        <f>INPUT!CF49</f>
        <v>1336.0083061051159</v>
      </c>
      <c r="C1023" s="191">
        <f>INPUT!CG49</f>
        <v>1497.9916938948841</v>
      </c>
      <c r="D1023" s="174">
        <f>D863</f>
        <v>22</v>
      </c>
      <c r="E1023" s="174">
        <f>F863</f>
        <v>12</v>
      </c>
      <c r="F1023" s="191">
        <f>MAX(B1023-D1023,C1023-E1023)</f>
        <v>1485.9916938948841</v>
      </c>
      <c r="G1023" s="174">
        <f>IF(B1023-D1023&gt;=C1023-E1023,INPUT!H49*INPUT!I49*INPUT!J49,INPUT!K49*INPUT!L49)</f>
        <v>23235.974822151198</v>
      </c>
      <c r="H1023" s="174">
        <f>MAX(ABS(INPUT!CH49),ABS(INPUT!CI49),INPUT!AO49)</f>
        <v>380</v>
      </c>
      <c r="I1023" s="192">
        <f>MIN(INPUT!AQ49/H1023,1)</f>
        <v>0.93421052631578949</v>
      </c>
      <c r="J1023" s="174">
        <f>INPUT!O49</f>
        <v>12</v>
      </c>
      <c r="K1023" s="191">
        <f>2*F1023*J1023/G1023</f>
        <v>1.5348527843763364</v>
      </c>
      <c r="L1023" s="194">
        <f>IF(INPUT!AQ49&gt;=INPUT!AO49,1,(12+K1023*(3*I1023-I1023^3))/(12+2*K1023))</f>
        <v>0.9987065011286681</v>
      </c>
      <c r="M1023" s="4"/>
      <c r="N1023" s="4"/>
    </row>
    <row r="1024">
      <c r="A1024" s="187">
        <f>A944</f>
        <v>101</v>
      </c>
      <c r="B1024" s="191">
        <f>INPUT!CF50</f>
        <v>1336.0083061051159</v>
      </c>
      <c r="C1024" s="191">
        <f>INPUT!CG50</f>
        <v>1497.9916938948841</v>
      </c>
      <c r="D1024" s="174">
        <f>D864</f>
        <v>22</v>
      </c>
      <c r="E1024" s="174">
        <f>F864</f>
        <v>12</v>
      </c>
      <c r="F1024" s="191">
        <f>MAX(B1024-D1024,C1024-E1024)</f>
        <v>1485.9916938948841</v>
      </c>
      <c r="G1024" s="174">
        <f>IF(B1024-D1024&gt;=C1024-E1024,INPUT!H50*INPUT!I50*INPUT!J50,INPUT!K50*INPUT!L50)</f>
        <v>23235.974822151198</v>
      </c>
      <c r="H1024" s="174">
        <f>MAX(ABS(INPUT!CH50),ABS(INPUT!CI50),INPUT!AO50)</f>
        <v>380</v>
      </c>
      <c r="I1024" s="192">
        <f>MIN(INPUT!AQ50/H1024,1)</f>
        <v>0.93421052631578949</v>
      </c>
      <c r="J1024" s="174">
        <f>INPUT!O50</f>
        <v>12</v>
      </c>
      <c r="K1024" s="191">
        <f>2*F1024*J1024/G1024</f>
        <v>1.5348527843763364</v>
      </c>
      <c r="L1024" s="194">
        <f>IF(INPUT!AQ50&gt;=INPUT!AO50,1,(12+K1024*(3*I1024-I1024^3))/(12+2*K1024))</f>
        <v>0.9987065011286681</v>
      </c>
      <c r="M1024" s="4"/>
      <c r="N1024" s="4"/>
    </row>
    <row r="1025">
      <c r="A1025" s="187">
        <f>A945</f>
        <v>101</v>
      </c>
      <c r="B1025" s="191">
        <f>INPUT!CF51</f>
        <v>1336.0083061051159</v>
      </c>
      <c r="C1025" s="191">
        <f>INPUT!CG51</f>
        <v>1497.9916938948841</v>
      </c>
      <c r="D1025" s="174">
        <f>D865</f>
        <v>22</v>
      </c>
      <c r="E1025" s="174">
        <f>F865</f>
        <v>12</v>
      </c>
      <c r="F1025" s="191">
        <f>MAX(B1025-D1025,C1025-E1025)</f>
        <v>1485.9916938948841</v>
      </c>
      <c r="G1025" s="174">
        <f>IF(B1025-D1025&gt;=C1025-E1025,INPUT!H51*INPUT!I51*INPUT!J51,INPUT!K51*INPUT!L51)</f>
        <v>23235.974822151198</v>
      </c>
      <c r="H1025" s="174">
        <f>MAX(ABS(INPUT!CH51),ABS(INPUT!CI51),INPUT!AO51)</f>
        <v>380</v>
      </c>
      <c r="I1025" s="192">
        <f>MIN(INPUT!AQ51/H1025,1)</f>
        <v>0.93421052631578949</v>
      </c>
      <c r="J1025" s="174">
        <f>INPUT!O51</f>
        <v>12</v>
      </c>
      <c r="K1025" s="191">
        <f>2*F1025*J1025/G1025</f>
        <v>1.5348527843763364</v>
      </c>
      <c r="L1025" s="194">
        <f>IF(INPUT!AQ51&gt;=INPUT!AO51,1,(12+K1025*(3*I1025-I1025^3))/(12+2*K1025))</f>
        <v>0.9987065011286681</v>
      </c>
      <c r="M1025" s="4"/>
      <c r="N1025" s="4"/>
    </row>
    <row r="1026">
      <c r="A1026" s="187">
        <f>A946</f>
        <v>101</v>
      </c>
      <c r="B1026" s="191">
        <f>INPUT!CF52</f>
        <v>1336.0083061051159</v>
      </c>
      <c r="C1026" s="191">
        <f>INPUT!CG52</f>
        <v>1497.9916938948841</v>
      </c>
      <c r="D1026" s="174">
        <f>D866</f>
        <v>22</v>
      </c>
      <c r="E1026" s="174">
        <f>F866</f>
        <v>12</v>
      </c>
      <c r="F1026" s="191">
        <f>MAX(B1026-D1026,C1026-E1026)</f>
        <v>1485.9916938948841</v>
      </c>
      <c r="G1026" s="174">
        <f>IF(B1026-D1026&gt;=C1026-E1026,INPUT!H52*INPUT!I52*INPUT!J52,INPUT!K52*INPUT!L52)</f>
        <v>23235.974822151198</v>
      </c>
      <c r="H1026" s="174">
        <f>MAX(ABS(INPUT!CH52),ABS(INPUT!CI52),INPUT!AO52)</f>
        <v>380</v>
      </c>
      <c r="I1026" s="192">
        <f>MIN(INPUT!AQ52/H1026,1)</f>
        <v>0.93421052631578949</v>
      </c>
      <c r="J1026" s="174">
        <f>INPUT!O52</f>
        <v>12</v>
      </c>
      <c r="K1026" s="191">
        <f>2*F1026*J1026/G1026</f>
        <v>1.5348527843763364</v>
      </c>
      <c r="L1026" s="194">
        <f>IF(INPUT!AQ52&gt;=INPUT!AO52,1,(12+K1026*(3*I1026-I1026^3))/(12+2*K1026))</f>
        <v>0.9987065011286681</v>
      </c>
      <c r="M1026" s="4"/>
      <c r="N1026" s="4"/>
    </row>
    <row r="1027">
      <c r="A1027" s="187">
        <f>A947</f>
        <v>101</v>
      </c>
      <c r="B1027" s="191">
        <f>INPUT!CF53</f>
        <v>1336.0083061051159</v>
      </c>
      <c r="C1027" s="191">
        <f>INPUT!CG53</f>
        <v>1497.9916938948841</v>
      </c>
      <c r="D1027" s="174">
        <f>D867</f>
        <v>22</v>
      </c>
      <c r="E1027" s="174">
        <f>F867</f>
        <v>12</v>
      </c>
      <c r="F1027" s="191">
        <f>MAX(B1027-D1027,C1027-E1027)</f>
        <v>1485.9916938948841</v>
      </c>
      <c r="G1027" s="174">
        <f>IF(B1027-D1027&gt;=C1027-E1027,INPUT!H53*INPUT!I53*INPUT!J53,INPUT!K53*INPUT!L53)</f>
        <v>23235.974822151198</v>
      </c>
      <c r="H1027" s="174">
        <f>MAX(ABS(INPUT!CH53),ABS(INPUT!CI53),INPUT!AO53)</f>
        <v>380</v>
      </c>
      <c r="I1027" s="192">
        <f>MIN(INPUT!AQ53/H1027,1)</f>
        <v>0.93421052631578949</v>
      </c>
      <c r="J1027" s="174">
        <f>INPUT!O53</f>
        <v>12</v>
      </c>
      <c r="K1027" s="191">
        <f>2*F1027*J1027/G1027</f>
        <v>1.5348527843763364</v>
      </c>
      <c r="L1027" s="194">
        <f>IF(INPUT!AQ53&gt;=INPUT!AO53,1,(12+K1027*(3*I1027-I1027^3))/(12+2*K1027))</f>
        <v>0.9987065011286681</v>
      </c>
      <c r="M1027" s="4"/>
      <c r="N1027" s="4"/>
    </row>
    <row r="1028">
      <c r="A1028" s="187">
        <f>A948</f>
        <v>101</v>
      </c>
      <c r="B1028" s="191">
        <f>INPUT!CF54</f>
        <v>1336.0083061051159</v>
      </c>
      <c r="C1028" s="191">
        <f>INPUT!CG54</f>
        <v>1497.9916938948841</v>
      </c>
      <c r="D1028" s="174">
        <f>D868</f>
        <v>22</v>
      </c>
      <c r="E1028" s="174">
        <f>F868</f>
        <v>12</v>
      </c>
      <c r="F1028" s="191">
        <f>MAX(B1028-D1028,C1028-E1028)</f>
        <v>1485.9916938948841</v>
      </c>
      <c r="G1028" s="174">
        <f>IF(B1028-D1028&gt;=C1028-E1028,INPUT!H54*INPUT!I54*INPUT!J54,INPUT!K54*INPUT!L54)</f>
        <v>23235.974822151198</v>
      </c>
      <c r="H1028" s="174">
        <f>MAX(ABS(INPUT!CH54),ABS(INPUT!CI54),INPUT!AO54)</f>
        <v>380</v>
      </c>
      <c r="I1028" s="192">
        <f>MIN(INPUT!AQ54/H1028,1)</f>
        <v>0.93421052631578949</v>
      </c>
      <c r="J1028" s="174">
        <f>INPUT!O54</f>
        <v>12</v>
      </c>
      <c r="K1028" s="191">
        <f>2*F1028*J1028/G1028</f>
        <v>1.5348527843763364</v>
      </c>
      <c r="L1028" s="194">
        <f>IF(INPUT!AQ54&gt;=INPUT!AO54,1,(12+K1028*(3*I1028-I1028^3))/(12+2*K1028))</f>
        <v>0.9987065011286681</v>
      </c>
      <c r="M1028" s="4"/>
      <c r="N1028" s="4"/>
    </row>
    <row r="1029">
      <c r="A1029" s="187">
        <f>A949</f>
        <v>101</v>
      </c>
      <c r="B1029" s="191">
        <f>INPUT!CF55</f>
        <v>1336.0083061051159</v>
      </c>
      <c r="C1029" s="191">
        <f>INPUT!CG55</f>
        <v>1497.9916938948841</v>
      </c>
      <c r="D1029" s="174">
        <f>D869</f>
        <v>22</v>
      </c>
      <c r="E1029" s="174">
        <f>F869</f>
        <v>12</v>
      </c>
      <c r="F1029" s="191">
        <f>MAX(B1029-D1029,C1029-E1029)</f>
        <v>1485.9916938948841</v>
      </c>
      <c r="G1029" s="174">
        <f>IF(B1029-D1029&gt;=C1029-E1029,INPUT!H55*INPUT!I55*INPUT!J55,INPUT!K55*INPUT!L55)</f>
        <v>23235.974822151198</v>
      </c>
      <c r="H1029" s="174">
        <f>MAX(ABS(INPUT!CH55),ABS(INPUT!CI55),INPUT!AO55)</f>
        <v>380</v>
      </c>
      <c r="I1029" s="192">
        <f>MIN(INPUT!AQ55/H1029,1)</f>
        <v>0.93421052631578949</v>
      </c>
      <c r="J1029" s="174">
        <f>INPUT!O55</f>
        <v>12</v>
      </c>
      <c r="K1029" s="191">
        <f>2*F1029*J1029/G1029</f>
        <v>1.5348527843763364</v>
      </c>
      <c r="L1029" s="194">
        <f>IF(INPUT!AQ55&gt;=INPUT!AO55,1,(12+K1029*(3*I1029-I1029^3))/(12+2*K1029))</f>
        <v>0.9987065011286681</v>
      </c>
      <c r="M1029" s="4"/>
      <c r="N1029" s="4"/>
    </row>
    <row r="1030">
      <c r="A1030" s="187">
        <f>A950</f>
        <v>101</v>
      </c>
      <c r="B1030" s="191">
        <f>INPUT!CF56</f>
        <v>1336.0083061051159</v>
      </c>
      <c r="C1030" s="191">
        <f>INPUT!CG56</f>
        <v>1497.9916938948841</v>
      </c>
      <c r="D1030" s="174">
        <f>D870</f>
        <v>22</v>
      </c>
      <c r="E1030" s="174">
        <f>F870</f>
        <v>12</v>
      </c>
      <c r="F1030" s="191">
        <f>MAX(B1030-D1030,C1030-E1030)</f>
        <v>1485.9916938948841</v>
      </c>
      <c r="G1030" s="174">
        <f>IF(B1030-D1030&gt;=C1030-E1030,INPUT!H56*INPUT!I56*INPUT!J56,INPUT!K56*INPUT!L56)</f>
        <v>23235.974822151198</v>
      </c>
      <c r="H1030" s="174">
        <f>MAX(ABS(INPUT!CH56),ABS(INPUT!CI56),INPUT!AO56)</f>
        <v>380</v>
      </c>
      <c r="I1030" s="192">
        <f>MIN(INPUT!AQ56/H1030,1)</f>
        <v>0.93421052631578949</v>
      </c>
      <c r="J1030" s="174">
        <f>INPUT!O56</f>
        <v>12</v>
      </c>
      <c r="K1030" s="191">
        <f>2*F1030*J1030/G1030</f>
        <v>1.5348527843763364</v>
      </c>
      <c r="L1030" s="194">
        <f>IF(INPUT!AQ56&gt;=INPUT!AO56,1,(12+K1030*(3*I1030-I1030^3))/(12+2*K1030))</f>
        <v>0.9987065011286681</v>
      </c>
      <c r="M1030" s="4"/>
      <c r="N1030" s="4"/>
    </row>
    <row r="1031">
      <c r="A1031" s="187">
        <f>A951</f>
        <v>101</v>
      </c>
      <c r="B1031" s="191">
        <f>INPUT!CF57</f>
        <v>1336.0083061051159</v>
      </c>
      <c r="C1031" s="191">
        <f>INPUT!CG57</f>
        <v>1497.9916938948841</v>
      </c>
      <c r="D1031" s="174">
        <f>D871</f>
        <v>22</v>
      </c>
      <c r="E1031" s="174">
        <f>F871</f>
        <v>12</v>
      </c>
      <c r="F1031" s="191">
        <f>MAX(B1031-D1031,C1031-E1031)</f>
        <v>1485.9916938948841</v>
      </c>
      <c r="G1031" s="174">
        <f>IF(B1031-D1031&gt;=C1031-E1031,INPUT!H57*INPUT!I57*INPUT!J57,INPUT!K57*INPUT!L57)</f>
        <v>23235.974822151198</v>
      </c>
      <c r="H1031" s="174">
        <f>MAX(ABS(INPUT!CH57),ABS(INPUT!CI57),INPUT!AO57)</f>
        <v>380</v>
      </c>
      <c r="I1031" s="192">
        <f>MIN(INPUT!AQ57/H1031,1)</f>
        <v>0.93421052631578949</v>
      </c>
      <c r="J1031" s="174">
        <f>INPUT!O57</f>
        <v>12</v>
      </c>
      <c r="K1031" s="191">
        <f>2*F1031*J1031/G1031</f>
        <v>1.5348527843763364</v>
      </c>
      <c r="L1031" s="194">
        <f>IF(INPUT!AQ57&gt;=INPUT!AO57,1,(12+K1031*(3*I1031-I1031^3))/(12+2*K1031))</f>
        <v>0.9987065011286681</v>
      </c>
      <c r="M1031" s="4"/>
      <c r="N1031" s="4"/>
    </row>
    <row r="1032">
      <c r="A1032" s="187">
        <f>A952</f>
        <v>101</v>
      </c>
      <c r="B1032" s="191">
        <f>INPUT!CF58</f>
        <v>1336.0083061051159</v>
      </c>
      <c r="C1032" s="191">
        <f>INPUT!CG58</f>
        <v>1497.9916938948841</v>
      </c>
      <c r="D1032" s="174">
        <f>D872</f>
        <v>22</v>
      </c>
      <c r="E1032" s="174">
        <f>F872</f>
        <v>12</v>
      </c>
      <c r="F1032" s="191">
        <f>MAX(B1032-D1032,C1032-E1032)</f>
        <v>1485.9916938948841</v>
      </c>
      <c r="G1032" s="174">
        <f>IF(B1032-D1032&gt;=C1032-E1032,INPUT!H58*INPUT!I58*INPUT!J58,INPUT!K58*INPUT!L58)</f>
        <v>23235.974822151198</v>
      </c>
      <c r="H1032" s="174">
        <f>MAX(ABS(INPUT!CH58),ABS(INPUT!CI58),INPUT!AO58)</f>
        <v>380</v>
      </c>
      <c r="I1032" s="192">
        <f>MIN(INPUT!AQ58/H1032,1)</f>
        <v>0.93421052631578949</v>
      </c>
      <c r="J1032" s="174">
        <f>INPUT!O58</f>
        <v>12</v>
      </c>
      <c r="K1032" s="191">
        <f>2*F1032*J1032/G1032</f>
        <v>1.5348527843763364</v>
      </c>
      <c r="L1032" s="194">
        <f>IF(INPUT!AQ58&gt;=INPUT!AO58,1,(12+K1032*(3*I1032-I1032^3))/(12+2*K1032))</f>
        <v>0.9987065011286681</v>
      </c>
      <c r="M1032" s="4"/>
      <c r="N1032" s="4"/>
    </row>
    <row r="1033">
      <c r="A1033" s="187">
        <f>A953</f>
        <v>101</v>
      </c>
      <c r="B1033" s="191">
        <f>INPUT!CF59</f>
        <v>1336.0083061051159</v>
      </c>
      <c r="C1033" s="191">
        <f>INPUT!CG59</f>
        <v>1497.9916938948841</v>
      </c>
      <c r="D1033" s="174">
        <f>D873</f>
        <v>22</v>
      </c>
      <c r="E1033" s="174">
        <f>F873</f>
        <v>12</v>
      </c>
      <c r="F1033" s="191">
        <f>MAX(B1033-D1033,C1033-E1033)</f>
        <v>1485.9916938948841</v>
      </c>
      <c r="G1033" s="174">
        <f>IF(B1033-D1033&gt;=C1033-E1033,INPUT!H59*INPUT!I59*INPUT!J59,INPUT!K59*INPUT!L59)</f>
        <v>23235.974822151198</v>
      </c>
      <c r="H1033" s="174">
        <f>MAX(ABS(INPUT!CH59),ABS(INPUT!CI59),INPUT!AO59)</f>
        <v>380</v>
      </c>
      <c r="I1033" s="192">
        <f>MIN(INPUT!AQ59/H1033,1)</f>
        <v>0.93421052631578949</v>
      </c>
      <c r="J1033" s="174">
        <f>INPUT!O59</f>
        <v>12</v>
      </c>
      <c r="K1033" s="191">
        <f>2*F1033*J1033/G1033</f>
        <v>1.5348527843763364</v>
      </c>
      <c r="L1033" s="194">
        <f>IF(INPUT!AQ59&gt;=INPUT!AO59,1,(12+K1033*(3*I1033-I1033^3))/(12+2*K1033))</f>
        <v>0.9987065011286681</v>
      </c>
      <c r="M1033" s="4"/>
      <c r="N1033" s="4"/>
    </row>
    <row r="1034">
      <c r="A1034" s="187">
        <f>A954</f>
        <v>101</v>
      </c>
      <c r="B1034" s="191">
        <f>INPUT!CF60</f>
        <v>1336.0083061051159</v>
      </c>
      <c r="C1034" s="191">
        <f>INPUT!CG60</f>
        <v>1497.9916938948841</v>
      </c>
      <c r="D1034" s="174">
        <f>D874</f>
        <v>22</v>
      </c>
      <c r="E1034" s="174">
        <f>F874</f>
        <v>12</v>
      </c>
      <c r="F1034" s="191">
        <f>MAX(B1034-D1034,C1034-E1034)</f>
        <v>1485.9916938948841</v>
      </c>
      <c r="G1034" s="174">
        <f>IF(B1034-D1034&gt;=C1034-E1034,INPUT!H60*INPUT!I60*INPUT!J60,INPUT!K60*INPUT!L60)</f>
        <v>23235.974822151198</v>
      </c>
      <c r="H1034" s="174">
        <f>MAX(ABS(INPUT!CH60),ABS(INPUT!CI60),INPUT!AO60)</f>
        <v>380</v>
      </c>
      <c r="I1034" s="192">
        <f>MIN(INPUT!AQ60/H1034,1)</f>
        <v>0.93421052631578949</v>
      </c>
      <c r="J1034" s="174">
        <f>INPUT!O60</f>
        <v>12</v>
      </c>
      <c r="K1034" s="191">
        <f>2*F1034*J1034/G1034</f>
        <v>1.5348527843763364</v>
      </c>
      <c r="L1034" s="194">
        <f>IF(INPUT!AQ60&gt;=INPUT!AO60,1,(12+K1034*(3*I1034-I1034^3))/(12+2*K1034))</f>
        <v>0.9987065011286681</v>
      </c>
      <c r="M1034" s="4"/>
      <c r="N1034" s="4"/>
    </row>
    <row r="1035">
      <c r="A1035" s="187">
        <f>A955</f>
        <v>101</v>
      </c>
      <c r="B1035" s="191">
        <f>INPUT!CF61</f>
        <v>1336.0083061051159</v>
      </c>
      <c r="C1035" s="191">
        <f>INPUT!CG61</f>
        <v>1497.9916938948841</v>
      </c>
      <c r="D1035" s="174">
        <f>D875</f>
        <v>22</v>
      </c>
      <c r="E1035" s="174">
        <f>F875</f>
        <v>12</v>
      </c>
      <c r="F1035" s="191">
        <f>MAX(B1035-D1035,C1035-E1035)</f>
        <v>1485.9916938948841</v>
      </c>
      <c r="G1035" s="174">
        <f>IF(B1035-D1035&gt;=C1035-E1035,INPUT!H61*INPUT!I61*INPUT!J61,INPUT!K61*INPUT!L61)</f>
        <v>23235.974822151198</v>
      </c>
      <c r="H1035" s="174">
        <f>MAX(ABS(INPUT!CH61),ABS(INPUT!CI61),INPUT!AO61)</f>
        <v>380</v>
      </c>
      <c r="I1035" s="192">
        <f>MIN(INPUT!AQ61/H1035,1)</f>
        <v>0.93421052631578949</v>
      </c>
      <c r="J1035" s="174">
        <f>INPUT!O61</f>
        <v>12</v>
      </c>
      <c r="K1035" s="191">
        <f>2*F1035*J1035/G1035</f>
        <v>1.5348527843763364</v>
      </c>
      <c r="L1035" s="194">
        <f>IF(INPUT!AQ61&gt;=INPUT!AO61,1,(12+K1035*(3*I1035-I1035^3))/(12+2*K1035))</f>
        <v>0.9987065011286681</v>
      </c>
      <c r="M1035" s="4"/>
      <c r="N1035" s="4"/>
    </row>
    <row r="1036">
      <c r="A1036" s="187">
        <f>A956</f>
        <v>101</v>
      </c>
      <c r="B1036" s="191">
        <f>INPUT!CF62</f>
        <v>1336.0083061051159</v>
      </c>
      <c r="C1036" s="191">
        <f>INPUT!CG62</f>
        <v>1497.9916938948841</v>
      </c>
      <c r="D1036" s="174">
        <f>D876</f>
        <v>22</v>
      </c>
      <c r="E1036" s="174">
        <f>F876</f>
        <v>12</v>
      </c>
      <c r="F1036" s="191">
        <f>MAX(B1036-D1036,C1036-E1036)</f>
        <v>1485.9916938948841</v>
      </c>
      <c r="G1036" s="174">
        <f>IF(B1036-D1036&gt;=C1036-E1036,INPUT!H62*INPUT!I62*INPUT!J62,INPUT!K62*INPUT!L62)</f>
        <v>23235.974822151198</v>
      </c>
      <c r="H1036" s="174">
        <f>MAX(ABS(INPUT!CH62),ABS(INPUT!CI62),INPUT!AO62)</f>
        <v>380</v>
      </c>
      <c r="I1036" s="192">
        <f>MIN(INPUT!AQ62/H1036,1)</f>
        <v>0.93421052631578949</v>
      </c>
      <c r="J1036" s="174">
        <f>INPUT!O62</f>
        <v>12</v>
      </c>
      <c r="K1036" s="191">
        <f>2*F1036*J1036/G1036</f>
        <v>1.5348527843763364</v>
      </c>
      <c r="L1036" s="194">
        <f>IF(INPUT!AQ62&gt;=INPUT!AO62,1,(12+K1036*(3*I1036-I1036^3))/(12+2*K1036))</f>
        <v>0.9987065011286681</v>
      </c>
      <c r="M1036" s="4"/>
      <c r="N1036" s="4"/>
    </row>
    <row r="1037">
      <c r="A1037" s="187">
        <f>A957</f>
        <v>101</v>
      </c>
      <c r="B1037" s="191">
        <f>INPUT!CF63</f>
        <v>1336.0083061051159</v>
      </c>
      <c r="C1037" s="191">
        <f>INPUT!CG63</f>
        <v>1497.9916938948841</v>
      </c>
      <c r="D1037" s="174">
        <f>D877</f>
        <v>22</v>
      </c>
      <c r="E1037" s="174">
        <f>F877</f>
        <v>12</v>
      </c>
      <c r="F1037" s="191">
        <f>MAX(B1037-D1037,C1037-E1037)</f>
        <v>1485.9916938948841</v>
      </c>
      <c r="G1037" s="174">
        <f>IF(B1037-D1037&gt;=C1037-E1037,INPUT!H63*INPUT!I63*INPUT!J63,INPUT!K63*INPUT!L63)</f>
        <v>23235.974822151198</v>
      </c>
      <c r="H1037" s="174">
        <f>MAX(ABS(INPUT!CH63),ABS(INPUT!CI63),INPUT!AO63)</f>
        <v>380</v>
      </c>
      <c r="I1037" s="192">
        <f>MIN(INPUT!AQ63/H1037,1)</f>
        <v>0.93421052631578949</v>
      </c>
      <c r="J1037" s="174">
        <f>INPUT!O63</f>
        <v>12</v>
      </c>
      <c r="K1037" s="191">
        <f>2*F1037*J1037/G1037</f>
        <v>1.5348527843763364</v>
      </c>
      <c r="L1037" s="194">
        <f>IF(INPUT!AQ63&gt;=INPUT!AO63,1,(12+K1037*(3*I1037-I1037^3))/(12+2*K1037))</f>
        <v>0.9987065011286681</v>
      </c>
      <c r="M1037" s="4"/>
      <c r="N1037" s="4"/>
    </row>
    <row r="1038">
      <c r="A1038" s="187">
        <f>A958</f>
        <v>101</v>
      </c>
      <c r="B1038" s="191">
        <f>INPUT!CF64</f>
        <v>1336.0083061051159</v>
      </c>
      <c r="C1038" s="191">
        <f>INPUT!CG64</f>
        <v>1497.9916938948841</v>
      </c>
      <c r="D1038" s="174">
        <f>D878</f>
        <v>22</v>
      </c>
      <c r="E1038" s="174">
        <f>F878</f>
        <v>12</v>
      </c>
      <c r="F1038" s="191">
        <f>MAX(B1038-D1038,C1038-E1038)</f>
        <v>1485.9916938948841</v>
      </c>
      <c r="G1038" s="174">
        <f>IF(B1038-D1038&gt;=C1038-E1038,INPUT!H64*INPUT!I64*INPUT!J64,INPUT!K64*INPUT!L64)</f>
        <v>23235.974822151198</v>
      </c>
      <c r="H1038" s="174">
        <f>MAX(ABS(INPUT!CH64),ABS(INPUT!CI64),INPUT!AO64)</f>
        <v>380</v>
      </c>
      <c r="I1038" s="192">
        <f>MIN(INPUT!AQ64/H1038,1)</f>
        <v>0.93421052631578949</v>
      </c>
      <c r="J1038" s="174">
        <f>INPUT!O64</f>
        <v>12</v>
      </c>
      <c r="K1038" s="191">
        <f>2*F1038*J1038/G1038</f>
        <v>1.5348527843763364</v>
      </c>
      <c r="L1038" s="194">
        <f>IF(INPUT!AQ64&gt;=INPUT!AO64,1,(12+K1038*(3*I1038-I1038^3))/(12+2*K1038))</f>
        <v>0.9987065011286681</v>
      </c>
      <c r="M1038" s="4"/>
      <c r="N1038" s="4"/>
    </row>
    <row r="1039">
      <c r="A1039" s="187">
        <f>A959</f>
        <v>101</v>
      </c>
      <c r="B1039" s="191">
        <f>INPUT!CF65</f>
        <v>1336.0083061051159</v>
      </c>
      <c r="C1039" s="191">
        <f>INPUT!CG65</f>
        <v>1497.9916938948841</v>
      </c>
      <c r="D1039" s="174">
        <f>D879</f>
        <v>22</v>
      </c>
      <c r="E1039" s="174">
        <f>F879</f>
        <v>12</v>
      </c>
      <c r="F1039" s="191">
        <f>MAX(B1039-D1039,C1039-E1039)</f>
        <v>1485.9916938948841</v>
      </c>
      <c r="G1039" s="174">
        <f>IF(B1039-D1039&gt;=C1039-E1039,INPUT!H65*INPUT!I65*INPUT!J65,INPUT!K65*INPUT!L65)</f>
        <v>23235.974822151198</v>
      </c>
      <c r="H1039" s="174">
        <f>MAX(ABS(INPUT!CH65),ABS(INPUT!CI65),INPUT!AO65)</f>
        <v>380</v>
      </c>
      <c r="I1039" s="192">
        <f>MIN(INPUT!AQ65/H1039,1)</f>
        <v>0.93421052631578949</v>
      </c>
      <c r="J1039" s="174">
        <f>INPUT!O65</f>
        <v>12</v>
      </c>
      <c r="K1039" s="191">
        <f>2*F1039*J1039/G1039</f>
        <v>1.5348527843763364</v>
      </c>
      <c r="L1039" s="194">
        <f>IF(INPUT!AQ65&gt;=INPUT!AO65,1,(12+K1039*(3*I1039-I1039^3))/(12+2*K1039))</f>
        <v>0.9987065011286681</v>
      </c>
      <c r="M1039" s="4"/>
      <c r="N1039" s="4"/>
    </row>
    <row r="1040">
      <c r="A1040" s="187">
        <f>A960</f>
        <v>101</v>
      </c>
      <c r="B1040" s="191">
        <f>INPUT!CF66</f>
        <v>1336.0083061051159</v>
      </c>
      <c r="C1040" s="191">
        <f>INPUT!CG66</f>
        <v>1497.9916938948841</v>
      </c>
      <c r="D1040" s="174">
        <f>D880</f>
        <v>22</v>
      </c>
      <c r="E1040" s="174">
        <f>F880</f>
        <v>12</v>
      </c>
      <c r="F1040" s="191">
        <f>MAX(B1040-D1040,C1040-E1040)</f>
        <v>1485.9916938948841</v>
      </c>
      <c r="G1040" s="174">
        <f>IF(B1040-D1040&gt;=C1040-E1040,INPUT!H66*INPUT!I66*INPUT!J66,INPUT!K66*INPUT!L66)</f>
        <v>23235.974822151198</v>
      </c>
      <c r="H1040" s="174">
        <f>MAX(ABS(INPUT!CH66),ABS(INPUT!CI66),INPUT!AO66)</f>
        <v>380</v>
      </c>
      <c r="I1040" s="192">
        <f>MIN(INPUT!AQ66/H1040,1)</f>
        <v>0.93421052631578949</v>
      </c>
      <c r="J1040" s="174">
        <f>INPUT!O66</f>
        <v>12</v>
      </c>
      <c r="K1040" s="191">
        <f>2*F1040*J1040/G1040</f>
        <v>1.5348527843763364</v>
      </c>
      <c r="L1040" s="194">
        <f>IF(INPUT!AQ66&gt;=INPUT!AO66,1,(12+K1040*(3*I1040-I1040^3))/(12+2*K1040))</f>
        <v>0.9987065011286681</v>
      </c>
      <c r="M1040" s="4"/>
      <c r="N1040" s="4"/>
    </row>
    <row r="1041">
      <c r="A1041" s="187">
        <f>A961</f>
        <v>101</v>
      </c>
      <c r="B1041" s="191">
        <f>INPUT!CF67</f>
        <v>1336.0083061051159</v>
      </c>
      <c r="C1041" s="191">
        <f>INPUT!CG67</f>
        <v>1497.9916938948841</v>
      </c>
      <c r="D1041" s="174">
        <f>D881</f>
        <v>22</v>
      </c>
      <c r="E1041" s="174">
        <f>F881</f>
        <v>12</v>
      </c>
      <c r="F1041" s="191">
        <f>MAX(B1041-D1041,C1041-E1041)</f>
        <v>1485.9916938948841</v>
      </c>
      <c r="G1041" s="174">
        <f>IF(B1041-D1041&gt;=C1041-E1041,INPUT!H67*INPUT!I67*INPUT!J67,INPUT!K67*INPUT!L67)</f>
        <v>23235.974822151198</v>
      </c>
      <c r="H1041" s="174">
        <f>MAX(ABS(INPUT!CH67),ABS(INPUT!CI67),INPUT!AO67)</f>
        <v>380</v>
      </c>
      <c r="I1041" s="192">
        <f>MIN(INPUT!AQ67/H1041,1)</f>
        <v>0.93421052631578949</v>
      </c>
      <c r="J1041" s="174">
        <f>INPUT!O67</f>
        <v>12</v>
      </c>
      <c r="K1041" s="191">
        <f>2*F1041*J1041/G1041</f>
        <v>1.5348527843763364</v>
      </c>
      <c r="L1041" s="194">
        <f>IF(INPUT!AQ67&gt;=INPUT!AO67,1,(12+K1041*(3*I1041-I1041^3))/(12+2*K1041))</f>
        <v>0.9987065011286681</v>
      </c>
      <c r="M1041" s="4"/>
      <c r="N1041" s="4"/>
    </row>
    <row r="1042">
      <c r="A1042" s="187">
        <f>A962</f>
        <v>101</v>
      </c>
      <c r="B1042" s="191">
        <f>INPUT!CF68</f>
        <v>1336.0083061051159</v>
      </c>
      <c r="C1042" s="191">
        <f>INPUT!CG68</f>
        <v>1497.9916938948841</v>
      </c>
      <c r="D1042" s="174">
        <f>D882</f>
        <v>22</v>
      </c>
      <c r="E1042" s="174">
        <f>F882</f>
        <v>12</v>
      </c>
      <c r="F1042" s="191">
        <f>MAX(B1042-D1042,C1042-E1042)</f>
        <v>1485.9916938948841</v>
      </c>
      <c r="G1042" s="174">
        <f>IF(B1042-D1042&gt;=C1042-E1042,INPUT!H68*INPUT!I68*INPUT!J68,INPUT!K68*INPUT!L68)</f>
        <v>23235.974822151198</v>
      </c>
      <c r="H1042" s="174">
        <f>MAX(ABS(INPUT!CH68),ABS(INPUT!CI68),INPUT!AO68)</f>
        <v>380</v>
      </c>
      <c r="I1042" s="192">
        <f>MIN(INPUT!AQ68/H1042,1)</f>
        <v>0.93421052631578949</v>
      </c>
      <c r="J1042" s="174">
        <f>INPUT!O68</f>
        <v>12</v>
      </c>
      <c r="K1042" s="191">
        <f>2*F1042*J1042/G1042</f>
        <v>1.5348527843763364</v>
      </c>
      <c r="L1042" s="194">
        <f>IF(INPUT!AQ68&gt;=INPUT!AO68,1,(12+K1042*(3*I1042-I1042^3))/(12+2*K1042))</f>
        <v>0.9987065011286681</v>
      </c>
      <c r="M1042" s="4"/>
      <c r="N1042" s="4"/>
    </row>
    <row r="1043">
      <c r="A1043" s="187">
        <f>A963</f>
        <v>101</v>
      </c>
      <c r="B1043" s="191">
        <f>INPUT!CF69</f>
        <v>1336.0083061051159</v>
      </c>
      <c r="C1043" s="191">
        <f>INPUT!CG69</f>
        <v>1497.9916938948841</v>
      </c>
      <c r="D1043" s="174">
        <f>D883</f>
        <v>22</v>
      </c>
      <c r="E1043" s="174">
        <f>F883</f>
        <v>12</v>
      </c>
      <c r="F1043" s="191">
        <f>MAX(B1043-D1043,C1043-E1043)</f>
        <v>1485.9916938948841</v>
      </c>
      <c r="G1043" s="174">
        <f>IF(B1043-D1043&gt;=C1043-E1043,INPUT!H69*INPUT!I69*INPUT!J69,INPUT!K69*INPUT!L69)</f>
        <v>23235.974822151198</v>
      </c>
      <c r="H1043" s="174">
        <f>MAX(ABS(INPUT!CH69),ABS(INPUT!CI69),INPUT!AO69)</f>
        <v>380</v>
      </c>
      <c r="I1043" s="192">
        <f>MIN(INPUT!AQ69/H1043,1)</f>
        <v>0.93421052631578949</v>
      </c>
      <c r="J1043" s="174">
        <f>INPUT!O69</f>
        <v>12</v>
      </c>
      <c r="K1043" s="191">
        <f>2*F1043*J1043/G1043</f>
        <v>1.5348527843763364</v>
      </c>
      <c r="L1043" s="194">
        <f>IF(INPUT!AQ69&gt;=INPUT!AO69,1,(12+K1043*(3*I1043-I1043^3))/(12+2*K1043))</f>
        <v>0.9987065011286681</v>
      </c>
      <c r="M1043" s="4"/>
      <c r="N1043" s="4"/>
    </row>
    <row r="1044">
      <c r="A1044" s="187">
        <f>A964</f>
        <v>101</v>
      </c>
      <c r="B1044" s="191">
        <f>INPUT!CF70</f>
        <v>1336.0083061051159</v>
      </c>
      <c r="C1044" s="191">
        <f>INPUT!CG70</f>
        <v>1497.9916938948841</v>
      </c>
      <c r="D1044" s="174">
        <f>D884</f>
        <v>22</v>
      </c>
      <c r="E1044" s="174">
        <f>F884</f>
        <v>12</v>
      </c>
      <c r="F1044" s="191">
        <f>MAX(B1044-D1044,C1044-E1044)</f>
        <v>1485.9916938948841</v>
      </c>
      <c r="G1044" s="174">
        <f>IF(B1044-D1044&gt;=C1044-E1044,INPUT!H70*INPUT!I70*INPUT!J70,INPUT!K70*INPUT!L70)</f>
        <v>23235.974822151198</v>
      </c>
      <c r="H1044" s="174">
        <f>MAX(ABS(INPUT!CH70),ABS(INPUT!CI70),INPUT!AO70)</f>
        <v>380</v>
      </c>
      <c r="I1044" s="192">
        <f>MIN(INPUT!AQ70/H1044,1)</f>
        <v>0.93421052631578949</v>
      </c>
      <c r="J1044" s="174">
        <f>INPUT!O70</f>
        <v>12</v>
      </c>
      <c r="K1044" s="191">
        <f>2*F1044*J1044/G1044</f>
        <v>1.5348527843763364</v>
      </c>
      <c r="L1044" s="194">
        <f>IF(INPUT!AQ70&gt;=INPUT!AO70,1,(12+K1044*(3*I1044-I1044^3))/(12+2*K1044))</f>
        <v>0.9987065011286681</v>
      </c>
      <c r="M1044" s="4"/>
      <c r="N1044" s="4"/>
    </row>
    <row r="1045">
      <c r="A1045" s="187">
        <f>A965</f>
        <v>101</v>
      </c>
      <c r="B1045" s="191">
        <f>INPUT!CF71</f>
        <v>1336.0083061051159</v>
      </c>
      <c r="C1045" s="191">
        <f>INPUT!CG71</f>
        <v>1497.9916938948841</v>
      </c>
      <c r="D1045" s="174">
        <f>D885</f>
        <v>22</v>
      </c>
      <c r="E1045" s="174">
        <f>F885</f>
        <v>12</v>
      </c>
      <c r="F1045" s="191">
        <f>MAX(B1045-D1045,C1045-E1045)</f>
        <v>1485.9916938948841</v>
      </c>
      <c r="G1045" s="174">
        <f>IF(B1045-D1045&gt;=C1045-E1045,INPUT!H71*INPUT!I71*INPUT!J71,INPUT!K71*INPUT!L71)</f>
        <v>23235.974822151198</v>
      </c>
      <c r="H1045" s="174">
        <f>MAX(ABS(INPUT!CH71),ABS(INPUT!CI71),INPUT!AO71)</f>
        <v>380</v>
      </c>
      <c r="I1045" s="192">
        <f>MIN(INPUT!AQ71/H1045,1)</f>
        <v>0.93421052631578949</v>
      </c>
      <c r="J1045" s="174">
        <f>INPUT!O71</f>
        <v>12</v>
      </c>
      <c r="K1045" s="191">
        <f>2*F1045*J1045/G1045</f>
        <v>1.5348527843763364</v>
      </c>
      <c r="L1045" s="194">
        <f>IF(INPUT!AQ71&gt;=INPUT!AO71,1,(12+K1045*(3*I1045-I1045^3))/(12+2*K1045))</f>
        <v>0.9987065011286681</v>
      </c>
      <c r="M1045" s="4"/>
      <c r="N1045" s="4"/>
    </row>
    <row r="1046">
      <c r="A1046" s="187">
        <f>A966</f>
        <v>101</v>
      </c>
      <c r="B1046" s="191">
        <f>INPUT!CF72</f>
        <v>1336.0083061051159</v>
      </c>
      <c r="C1046" s="191">
        <f>INPUT!CG72</f>
        <v>1497.9916938948841</v>
      </c>
      <c r="D1046" s="174">
        <f>D886</f>
        <v>22</v>
      </c>
      <c r="E1046" s="174">
        <f>F886</f>
        <v>12</v>
      </c>
      <c r="F1046" s="191">
        <f>MAX(B1046-D1046,C1046-E1046)</f>
        <v>1485.9916938948841</v>
      </c>
      <c r="G1046" s="174">
        <f>IF(B1046-D1046&gt;=C1046-E1046,INPUT!H72*INPUT!I72*INPUT!J72,INPUT!K72*INPUT!L72)</f>
        <v>23235.974822151198</v>
      </c>
      <c r="H1046" s="174">
        <f>MAX(ABS(INPUT!CH72),ABS(INPUT!CI72),INPUT!AO72)</f>
        <v>380</v>
      </c>
      <c r="I1046" s="192">
        <f>MIN(INPUT!AQ72/H1046,1)</f>
        <v>0.93421052631578949</v>
      </c>
      <c r="J1046" s="174">
        <f>INPUT!O72</f>
        <v>12</v>
      </c>
      <c r="K1046" s="191">
        <f>2*F1046*J1046/G1046</f>
        <v>1.5348527843763364</v>
      </c>
      <c r="L1046" s="194">
        <f>IF(INPUT!AQ72&gt;=INPUT!AO72,1,(12+K1046*(3*I1046-I1046^3))/(12+2*K1046))</f>
        <v>0.9987065011286681</v>
      </c>
      <c r="M1046" s="4"/>
      <c r="N1046" s="4"/>
    </row>
    <row r="1047">
      <c r="A1047" s="187">
        <f>A967</f>
        <v>101</v>
      </c>
      <c r="B1047" s="191">
        <f>INPUT!CF73</f>
        <v>1336.0083061051159</v>
      </c>
      <c r="C1047" s="191">
        <f>INPUT!CG73</f>
        <v>1497.9916938948841</v>
      </c>
      <c r="D1047" s="174">
        <f>D887</f>
        <v>22</v>
      </c>
      <c r="E1047" s="174">
        <f>F887</f>
        <v>12</v>
      </c>
      <c r="F1047" s="191">
        <f>MAX(B1047-D1047,C1047-E1047)</f>
        <v>1485.9916938948841</v>
      </c>
      <c r="G1047" s="174">
        <f>IF(B1047-D1047&gt;=C1047-E1047,INPUT!H73*INPUT!I73*INPUT!J73,INPUT!K73*INPUT!L73)</f>
        <v>23235.974822151198</v>
      </c>
      <c r="H1047" s="174">
        <f>MAX(ABS(INPUT!CH73),ABS(INPUT!CI73),INPUT!AO73)</f>
        <v>380</v>
      </c>
      <c r="I1047" s="192">
        <f>MIN(INPUT!AQ73/H1047,1)</f>
        <v>0.93421052631578949</v>
      </c>
      <c r="J1047" s="174">
        <f>INPUT!O73</f>
        <v>12</v>
      </c>
      <c r="K1047" s="191">
        <f>2*F1047*J1047/G1047</f>
        <v>1.5348527843763364</v>
      </c>
      <c r="L1047" s="194">
        <f>IF(INPUT!AQ73&gt;=INPUT!AO73,1,(12+K1047*(3*I1047-I1047^3))/(12+2*K1047))</f>
        <v>0.9987065011286681</v>
      </c>
      <c r="M1047" s="4"/>
      <c r="N1047" s="4"/>
    </row>
    <row r="1048">
      <c r="A1048" s="187">
        <f>A968</f>
        <v>101</v>
      </c>
      <c r="B1048" s="191">
        <f>INPUT!CF74</f>
        <v>1336.0083061051159</v>
      </c>
      <c r="C1048" s="191">
        <f>INPUT!CG74</f>
        <v>1497.9916938948841</v>
      </c>
      <c r="D1048" s="174">
        <f>D888</f>
        <v>22</v>
      </c>
      <c r="E1048" s="174">
        <f>F888</f>
        <v>12</v>
      </c>
      <c r="F1048" s="191">
        <f>MAX(B1048-D1048,C1048-E1048)</f>
        <v>1485.9916938948841</v>
      </c>
      <c r="G1048" s="174">
        <f>IF(B1048-D1048&gt;=C1048-E1048,INPUT!H74*INPUT!I74*INPUT!J74,INPUT!K74*INPUT!L74)</f>
        <v>23235.974822151198</v>
      </c>
      <c r="H1048" s="174">
        <f>MAX(ABS(INPUT!CH74),ABS(INPUT!CI74),INPUT!AO74)</f>
        <v>380</v>
      </c>
      <c r="I1048" s="192">
        <f>MIN(INPUT!AQ74/H1048,1)</f>
        <v>0.93421052631578949</v>
      </c>
      <c r="J1048" s="174">
        <f>INPUT!O74</f>
        <v>12</v>
      </c>
      <c r="K1048" s="191">
        <f>2*F1048*J1048/G1048</f>
        <v>1.5348527843763364</v>
      </c>
      <c r="L1048" s="194">
        <f>IF(INPUT!AQ74&gt;=INPUT!AO74,1,(12+K1048*(3*I1048-I1048^3))/(12+2*K1048))</f>
        <v>0.9987065011286681</v>
      </c>
      <c r="M1048" s="4"/>
      <c r="N1048" s="4"/>
    </row>
    <row r="1049">
      <c r="A1049" s="187">
        <f>A969</f>
        <v>101</v>
      </c>
      <c r="B1049" s="191">
        <f>INPUT!CF75</f>
        <v>1336.0083061051159</v>
      </c>
      <c r="C1049" s="191">
        <f>INPUT!CG75</f>
        <v>1497.9916938948841</v>
      </c>
      <c r="D1049" s="174">
        <f>D889</f>
        <v>22</v>
      </c>
      <c r="E1049" s="174">
        <f>F889</f>
        <v>12</v>
      </c>
      <c r="F1049" s="191">
        <f>MAX(B1049-D1049,C1049-E1049)</f>
        <v>1485.9916938948841</v>
      </c>
      <c r="G1049" s="174">
        <f>IF(B1049-D1049&gt;=C1049-E1049,INPUT!H75*INPUT!I75*INPUT!J75,INPUT!K75*INPUT!L75)</f>
        <v>23235.974822151198</v>
      </c>
      <c r="H1049" s="174">
        <f>MAX(ABS(INPUT!CH75),ABS(INPUT!CI75),INPUT!AO75)</f>
        <v>380</v>
      </c>
      <c r="I1049" s="192">
        <f>MIN(INPUT!AQ75/H1049,1)</f>
        <v>0.93421052631578949</v>
      </c>
      <c r="J1049" s="174">
        <f>INPUT!O75</f>
        <v>12</v>
      </c>
      <c r="K1049" s="191">
        <f>2*F1049*J1049/G1049</f>
        <v>1.5348527843763364</v>
      </c>
      <c r="L1049" s="194">
        <f>IF(INPUT!AQ75&gt;=INPUT!AO75,1,(12+K1049*(3*I1049-I1049^3))/(12+2*K1049))</f>
        <v>0.9987065011286681</v>
      </c>
      <c r="M1049" s="4"/>
      <c r="N1049" s="4"/>
    </row>
    <row r="1050">
      <c r="A1050" s="187">
        <f>A970</f>
        <v>101</v>
      </c>
      <c r="B1050" s="191">
        <f>INPUT!CF76</f>
        <v>1336.0083061051159</v>
      </c>
      <c r="C1050" s="191">
        <f>INPUT!CG76</f>
        <v>1497.9916938948841</v>
      </c>
      <c r="D1050" s="174">
        <f>D890</f>
        <v>22</v>
      </c>
      <c r="E1050" s="174">
        <f>F890</f>
        <v>12</v>
      </c>
      <c r="F1050" s="191">
        <f>MAX(B1050-D1050,C1050-E1050)</f>
        <v>1485.9916938948841</v>
      </c>
      <c r="G1050" s="174">
        <f>IF(B1050-D1050&gt;=C1050-E1050,INPUT!H76*INPUT!I76*INPUT!J76,INPUT!K76*INPUT!L76)</f>
        <v>23235.974822151198</v>
      </c>
      <c r="H1050" s="174">
        <f>MAX(ABS(INPUT!CH76),ABS(INPUT!CI76),INPUT!AO76)</f>
        <v>380</v>
      </c>
      <c r="I1050" s="192">
        <f>MIN(INPUT!AQ76/H1050,1)</f>
        <v>0.93421052631578949</v>
      </c>
      <c r="J1050" s="174">
        <f>INPUT!O76</f>
        <v>12</v>
      </c>
      <c r="K1050" s="191">
        <f>2*F1050*J1050/G1050</f>
        <v>1.5348527843763364</v>
      </c>
      <c r="L1050" s="194">
        <f>IF(INPUT!AQ76&gt;=INPUT!AO76,1,(12+K1050*(3*I1050-I1050^3))/(12+2*K1050))</f>
        <v>0.9987065011286681</v>
      </c>
      <c r="M1050" s="4"/>
      <c r="N1050" s="4"/>
    </row>
    <row r="1051">
      <c r="A1051" s="187">
        <f>A971</f>
        <v>101</v>
      </c>
      <c r="B1051" s="191">
        <f>INPUT!CF77</f>
        <v>1336.0083061051159</v>
      </c>
      <c r="C1051" s="191">
        <f>INPUT!CG77</f>
        <v>1497.9916938948841</v>
      </c>
      <c r="D1051" s="174">
        <f>D891</f>
        <v>22</v>
      </c>
      <c r="E1051" s="174">
        <f>F891</f>
        <v>12</v>
      </c>
      <c r="F1051" s="191">
        <f>MAX(B1051-D1051,C1051-E1051)</f>
        <v>1485.9916938948841</v>
      </c>
      <c r="G1051" s="174">
        <f>IF(B1051-D1051&gt;=C1051-E1051,INPUT!H77*INPUT!I77*INPUT!J77,INPUT!K77*INPUT!L77)</f>
        <v>23235.974822151198</v>
      </c>
      <c r="H1051" s="174">
        <f>MAX(ABS(INPUT!CH77),ABS(INPUT!CI77),INPUT!AO77)</f>
        <v>380</v>
      </c>
      <c r="I1051" s="192">
        <f>MIN(INPUT!AQ77/H1051,1)</f>
        <v>0.93421052631578949</v>
      </c>
      <c r="J1051" s="174">
        <f>INPUT!O77</f>
        <v>12</v>
      </c>
      <c r="K1051" s="191">
        <f>2*F1051*J1051/G1051</f>
        <v>1.5348527843763364</v>
      </c>
      <c r="L1051" s="194">
        <f>IF(INPUT!AQ77&gt;=INPUT!AO77,1,(12+K1051*(3*I1051-I1051^3))/(12+2*K1051))</f>
        <v>0.9987065011286681</v>
      </c>
      <c r="M1051" s="4"/>
      <c r="N1051" s="4"/>
    </row>
    <row r="1052">
      <c r="A1052" s="187">
        <f>A972</f>
        <v>101</v>
      </c>
      <c r="B1052" s="191">
        <f>INPUT!CF78</f>
        <v>1336.0083061051159</v>
      </c>
      <c r="C1052" s="191">
        <f>INPUT!CG78</f>
        <v>1497.9916938948841</v>
      </c>
      <c r="D1052" s="174">
        <f>D892</f>
        <v>22</v>
      </c>
      <c r="E1052" s="174">
        <f>F892</f>
        <v>12</v>
      </c>
      <c r="F1052" s="191">
        <f>MAX(B1052-D1052,C1052-E1052)</f>
        <v>1485.9916938948841</v>
      </c>
      <c r="G1052" s="174">
        <f>IF(B1052-D1052&gt;=C1052-E1052,INPUT!H78*INPUT!I78*INPUT!J78,INPUT!K78*INPUT!L78)</f>
        <v>23235.974822151198</v>
      </c>
      <c r="H1052" s="174">
        <f>MAX(ABS(INPUT!CH78),ABS(INPUT!CI78),INPUT!AO78)</f>
        <v>380</v>
      </c>
      <c r="I1052" s="192">
        <f>MIN(INPUT!AQ78/H1052,1)</f>
        <v>0.93421052631578949</v>
      </c>
      <c r="J1052" s="174">
        <f>INPUT!O78</f>
        <v>12</v>
      </c>
      <c r="K1052" s="191">
        <f>2*F1052*J1052/G1052</f>
        <v>1.5348527843763364</v>
      </c>
      <c r="L1052" s="194">
        <f>IF(INPUT!AQ78&gt;=INPUT!AO78,1,(12+K1052*(3*I1052-I1052^3))/(12+2*K1052))</f>
        <v>0.9987065011286681</v>
      </c>
      <c r="M1052" s="4"/>
      <c r="N1052" s="4"/>
    </row>
    <row r="1053" ht="15" customHeight="1" s="4" customFormat="1">
      <c r="B1053" s="207"/>
      <c r="C1053" s="207"/>
      <c r="D1053" s="207"/>
      <c r="E1053" s="207"/>
      <c r="F1053" s="207"/>
      <c r="G1053" s="207"/>
      <c r="H1053" s="207"/>
      <c r="I1053" s="207"/>
      <c r="J1053" s="207"/>
      <c r="K1053" s="207"/>
      <c r="L1053" s="207"/>
      <c r="M1053" s="207"/>
      <c r="N1053" s="138"/>
      <c r="O1053" s="351"/>
      <c r="P1053" s="370"/>
      <c r="Q1053" s="207"/>
      <c r="R1053" s="133"/>
      <c r="S1053" s="133"/>
      <c r="T1053" s="133"/>
      <c r="U1053" s="133"/>
      <c r="V1053" s="312"/>
      <c r="W1053" s="312"/>
      <c r="X1053" s="133"/>
      <c r="Y1053" s="133"/>
    </row>
    <row r="1054" ht="15" customHeight="1" s="4" customFormat="1">
      <c r="A1054" s="59" t="s">
        <v>933</v>
      </c>
      <c r="L1054" s="207"/>
      <c r="O1054" s="296"/>
      <c r="P1054" s="64"/>
      <c r="Z1054" s="207"/>
      <c r="AB1054" s="207"/>
    </row>
    <row r="1055" ht="15" customHeight="1" s="4" customFormat="1">
      <c r="A1055" s="335" t="s">
        <v>230</v>
      </c>
      <c r="B1055" s="334" t="s">
        <v>242</v>
      </c>
      <c r="C1055" s="334" t="s">
        <v>392</v>
      </c>
      <c r="D1055" s="334" t="s">
        <v>32</v>
      </c>
      <c r="E1055" s="334" t="s">
        <v>390</v>
      </c>
      <c r="F1055" s="334" t="s">
        <v>391</v>
      </c>
      <c r="G1055" s="336" t="s">
        <v>934</v>
      </c>
      <c r="H1055" s="334" t="s">
        <v>347</v>
      </c>
      <c r="I1055" s="334" t="s">
        <v>334</v>
      </c>
      <c r="J1055" s="334" t="s">
        <v>393</v>
      </c>
      <c r="K1055" s="336" t="s">
        <v>935</v>
      </c>
      <c r="L1055" s="336" t="s">
        <v>936</v>
      </c>
      <c r="M1055" s="334" t="s">
        <v>937</v>
      </c>
      <c r="N1055" s="275" t="s">
        <v>938</v>
      </c>
      <c r="O1055" s="296"/>
      <c r="P1055" s="64"/>
    </row>
    <row r="1056" ht="15" customHeight="1" s="4" customFormat="1">
      <c r="A1056" s="337"/>
      <c r="B1056" s="302" t="s">
        <v>250</v>
      </c>
      <c r="C1056" s="302"/>
      <c r="D1056" s="302"/>
      <c r="E1056" s="302"/>
      <c r="F1056" s="302"/>
      <c r="G1056" s="302"/>
      <c r="H1056" s="302"/>
      <c r="I1056" s="302"/>
      <c r="J1056" s="302"/>
      <c r="K1056" s="302"/>
      <c r="L1056" s="302"/>
      <c r="M1056" s="302"/>
      <c r="N1056" s="278"/>
      <c r="O1056" s="296"/>
      <c r="P1056" s="64"/>
    </row>
    <row r="1057" ht="15" customHeight="1">
      <c r="A1057" s="187">
        <f>A977</f>
        <v>101</v>
      </c>
      <c r="B1057" s="174" t="str">
        <f>B474</f>
        <v>Negative</v>
      </c>
      <c r="C1057" s="174">
        <f>IF(B1057="Positive",INPUT!AG3,INPUT!AD3)</f>
        <v>2</v>
      </c>
      <c r="D1057" s="191">
        <f>IF(B1057="Positive",IF(INPUT!AG3=0,0,(INPUT!U3-INPUT!AG3*INPUT!AH3)/(INPUT!AG3+1)),IF(INPUT!AD3=0,0,(INPUT!K3-2*INPUT!M3-INPUT!AD3*INPUT!AE3)/(INPUT!AD3+1)))</f>
        <v>558.7770783930888</v>
      </c>
      <c r="E1057" s="174">
        <f>IF(B1057="Positive",D817,F817)</f>
        <v>12</v>
      </c>
      <c r="F1057" s="174">
        <f>IF(B1057="Positive",C817,E817)</f>
        <v>1936.3312351792665</v>
      </c>
      <c r="G1057" s="191">
        <f>IF(D1057=0,F1057,D1057)/E1057</f>
        <v>46.5647565327574</v>
      </c>
      <c r="H1057" s="174">
        <f>IF(B1057="Positive",1/3*INPUT!AH3*INPUT!AI3^3,1/3*INPUT!AE3*INPUT!AF3^3)</f>
        <v>13653333.333333332</v>
      </c>
      <c r="I1057" s="192">
        <f>IF(D1057=0,4,MIN(MAX((IF(C1057=1,8,0.894)*H1057/D1057/E1057^3)^(1/3),1),4))</f>
        <v>2.3295102753141137</v>
      </c>
      <c r="J1057" s="192">
        <f>IF(D1057=0,5.34,MIN((5.34+2.84*(H1057/D1057/E1057^3)^(1/3))/((C1057+1)^2),5.34))</f>
        <v>1.3563979013960836</v>
      </c>
      <c r="K1057" s="191">
        <f>0.57*SQRT(INPUT!$B$2*I1057/INPUT!AO3/L897)</f>
        <v>0</v>
      </c>
      <c r="L1057" s="191">
        <f>0.95*SQRT(INPUT!$B$2*I1057/(L897-0.3)/INPUT!AO3)</f>
        <v>0</v>
      </c>
      <c r="M1057" s="184">
        <f>IF(G1057&lt;=K1057,1*L977*INPUT!AO3*L897,IF(G1057&lt;=L1057,1*L977*INPUT!AO3*(L897-(L897-(L897-0.3)/L977)*(G1057-K1057)/(L1057-K1057)),0.9*INPUT!$B$2*1*I1057/G1057^2))</f>
        <v>0</v>
      </c>
      <c r="N1057" s="286">
        <f>IF(G1057&lt;=1.12*SQRT(INPUT!$B$2*J1057/INPUT!AO3),0.58*INPUT!AO3,IF(G1057&lt;=1.4*SQRT(INPUT!$B$2*J1057/INPUT!AO3),0.65*SQRT(INPUT!AO3*INPUT!$B$2*J1057)/G1057,0.9*INPUT!$B$2*J1057/G1057^2))</f>
        <v>0</v>
      </c>
    </row>
    <row r="1058">
      <c r="A1058" s="187">
        <f>A978</f>
        <v>101</v>
      </c>
      <c r="B1058" s="174" t="str">
        <f>B475</f>
        <v>Negative</v>
      </c>
      <c r="C1058" s="174">
        <f>IF(B1058="Positive",INPUT!AG4,INPUT!AD4)</f>
        <v>2</v>
      </c>
      <c r="D1058" s="191">
        <f>IF(B1058="Positive",IF(INPUT!AG4=0,0,(INPUT!U4-INPUT!AG4*INPUT!AH4)/(INPUT!AG4+1)),IF(INPUT!AD4=0,0,(INPUT!K4-2*INPUT!M4-INPUT!AD4*INPUT!AE4)/(INPUT!AD4+1)))</f>
        <v>558.7770783930888</v>
      </c>
      <c r="E1058" s="174">
        <f>IF(B1058="Positive",D818,F818)</f>
        <v>12</v>
      </c>
      <c r="F1058" s="174">
        <f>IF(B1058="Positive",C818,E818)</f>
        <v>1936.3312351792665</v>
      </c>
      <c r="G1058" s="191">
        <f>IF(D1058=0,F1058,D1058)/E1058</f>
        <v>46.5647565327574</v>
      </c>
      <c r="H1058" s="174">
        <f>IF(B1058="Positive",1/3*INPUT!AH4*INPUT!AI4^3,1/3*INPUT!AE4*INPUT!AF4^3)</f>
        <v>13653333.333333332</v>
      </c>
      <c r="I1058" s="192">
        <f>IF(D1058=0,4,MIN(MAX((IF(C1058=1,8,0.894)*H1058/D1058/E1058^3)^(1/3),1),4))</f>
        <v>2.3295102753141137</v>
      </c>
      <c r="J1058" s="192">
        <f>IF(D1058=0,5.34,MIN((5.34+2.84*(H1058/D1058/E1058^3)^(1/3))/((C1058+1)^2),5.34))</f>
        <v>1.3563979013960836</v>
      </c>
      <c r="K1058" s="191">
        <f>0.57*SQRT(INPUT!$B$2*I1058/INPUT!AO4/L898)</f>
        <v>0</v>
      </c>
      <c r="L1058" s="191">
        <f>0.95*SQRT(INPUT!$B$2*I1058/(L898-0.3)/INPUT!AO4)</f>
        <v>0</v>
      </c>
      <c r="M1058" s="184">
        <f>IF(G1058&lt;=K1058,1*L978*INPUT!AO4*L898,IF(G1058&lt;=L1058,1*L978*INPUT!AO4*(L898-(L898-(L898-0.3)/L978)*(G1058-K1058)/(L1058-K1058)),0.9*INPUT!$B$2*1*I1058/G1058^2))</f>
        <v>0</v>
      </c>
      <c r="N1058" s="286">
        <f>IF(G1058&lt;=1.12*SQRT(INPUT!$B$2*J1058/INPUT!AO4),0.58*INPUT!AO4,IF(G1058&lt;=1.4*SQRT(INPUT!$B$2*J1058/INPUT!AO4),0.65*SQRT(INPUT!AO4*INPUT!$B$2*J1058)/G1058,0.9*INPUT!$B$2*J1058/G1058^2))</f>
        <v>0</v>
      </c>
    </row>
    <row r="1059">
      <c r="A1059" s="187">
        <f>A979</f>
        <v>101</v>
      </c>
      <c r="B1059" s="174" t="str">
        <f>B476</f>
        <v>Negative</v>
      </c>
      <c r="C1059" s="174">
        <f>IF(B1059="Positive",INPUT!AG5,INPUT!AD5)</f>
        <v>2</v>
      </c>
      <c r="D1059" s="191">
        <f>IF(B1059="Positive",IF(INPUT!AG5=0,0,(INPUT!U5-INPUT!AG5*INPUT!AH5)/(INPUT!AG5+1)),IF(INPUT!AD5=0,0,(INPUT!K5-2*INPUT!M5-INPUT!AD5*INPUT!AE5)/(INPUT!AD5+1)))</f>
        <v>558.7770783930888</v>
      </c>
      <c r="E1059" s="174">
        <f>IF(B1059="Positive",D819,F819)</f>
        <v>12</v>
      </c>
      <c r="F1059" s="174">
        <f>IF(B1059="Positive",C819,E819)</f>
        <v>1936.3312351792665</v>
      </c>
      <c r="G1059" s="191">
        <f>IF(D1059=0,F1059,D1059)/E1059</f>
        <v>46.5647565327574</v>
      </c>
      <c r="H1059" s="174">
        <f>IF(B1059="Positive",1/3*INPUT!AH5*INPUT!AI5^3,1/3*INPUT!AE5*INPUT!AF5^3)</f>
        <v>13653333.333333332</v>
      </c>
      <c r="I1059" s="192">
        <f>IF(D1059=0,4,MIN(MAX((IF(C1059=1,8,0.894)*H1059/D1059/E1059^3)^(1/3),1),4))</f>
        <v>2.3295102753141137</v>
      </c>
      <c r="J1059" s="192">
        <f>IF(D1059=0,5.34,MIN((5.34+2.84*(H1059/D1059/E1059^3)^(1/3))/((C1059+1)^2),5.34))</f>
        <v>1.3563979013960836</v>
      </c>
      <c r="K1059" s="191">
        <f>0.57*SQRT(INPUT!$B$2*I1059/INPUT!AO5/L899)</f>
        <v>0</v>
      </c>
      <c r="L1059" s="191">
        <f>0.95*SQRT(INPUT!$B$2*I1059/(L899-0.3)/INPUT!AO5)</f>
        <v>0</v>
      </c>
      <c r="M1059" s="184">
        <f>IF(G1059&lt;=K1059,1*L979*INPUT!AO5*L899,IF(G1059&lt;=L1059,1*L979*INPUT!AO5*(L899-(L899-(L899-0.3)/L979)*(G1059-K1059)/(L1059-K1059)),0.9*INPUT!$B$2*1*I1059/G1059^2))</f>
        <v>0</v>
      </c>
      <c r="N1059" s="286">
        <f>IF(G1059&lt;=1.12*SQRT(INPUT!$B$2*J1059/INPUT!AO5),0.58*INPUT!AO5,IF(G1059&lt;=1.4*SQRT(INPUT!$B$2*J1059/INPUT!AO5),0.65*SQRT(INPUT!AO5*INPUT!$B$2*J1059)/G1059,0.9*INPUT!$B$2*J1059/G1059^2))</f>
        <v>0</v>
      </c>
    </row>
    <row r="1060">
      <c r="A1060" s="187">
        <f>A980</f>
        <v>101</v>
      </c>
      <c r="B1060" s="174" t="str">
        <f>B477</f>
        <v>Negative</v>
      </c>
      <c r="C1060" s="174">
        <f>IF(B1060="Positive",INPUT!AG6,INPUT!AD6)</f>
        <v>2</v>
      </c>
      <c r="D1060" s="191">
        <f>IF(B1060="Positive",IF(INPUT!AG6=0,0,(INPUT!U6-INPUT!AG6*INPUT!AH6)/(INPUT!AG6+1)),IF(INPUT!AD6=0,0,(INPUT!K6-2*INPUT!M6-INPUT!AD6*INPUT!AE6)/(INPUT!AD6+1)))</f>
        <v>558.7770783930888</v>
      </c>
      <c r="E1060" s="174">
        <f>IF(B1060="Positive",D820,F820)</f>
        <v>12</v>
      </c>
      <c r="F1060" s="174">
        <f>IF(B1060="Positive",C820,E820)</f>
        <v>1936.3312351792665</v>
      </c>
      <c r="G1060" s="191">
        <f>IF(D1060=0,F1060,D1060)/E1060</f>
        <v>46.5647565327574</v>
      </c>
      <c r="H1060" s="174">
        <f>IF(B1060="Positive",1/3*INPUT!AH6*INPUT!AI6^3,1/3*INPUT!AE6*INPUT!AF6^3)</f>
        <v>13653333.333333332</v>
      </c>
      <c r="I1060" s="192">
        <f>IF(D1060=0,4,MIN(MAX((IF(C1060=1,8,0.894)*H1060/D1060/E1060^3)^(1/3),1),4))</f>
        <v>2.3295102753141137</v>
      </c>
      <c r="J1060" s="192">
        <f>IF(D1060=0,5.34,MIN((5.34+2.84*(H1060/D1060/E1060^3)^(1/3))/((C1060+1)^2),5.34))</f>
        <v>1.3563979013960836</v>
      </c>
      <c r="K1060" s="191">
        <f>0.57*SQRT(INPUT!$B$2*I1060/INPUT!AO6/L900)</f>
        <v>0</v>
      </c>
      <c r="L1060" s="191">
        <f>0.95*SQRT(INPUT!$B$2*I1060/(L900-0.3)/INPUT!AO6)</f>
        <v>0</v>
      </c>
      <c r="M1060" s="184">
        <f>IF(G1060&lt;=K1060,1*L980*INPUT!AO6*L900,IF(G1060&lt;=L1060,1*L980*INPUT!AO6*(L900-(L900-(L900-0.3)/L980)*(G1060-K1060)/(L1060-K1060)),0.9*INPUT!$B$2*1*I1060/G1060^2))</f>
        <v>0</v>
      </c>
      <c r="N1060" s="286">
        <f>IF(G1060&lt;=1.12*SQRT(INPUT!$B$2*J1060/INPUT!AO6),0.58*INPUT!AO6,IF(G1060&lt;=1.4*SQRT(INPUT!$B$2*J1060/INPUT!AO6),0.65*SQRT(INPUT!AO6*INPUT!$B$2*J1060)/G1060,0.9*INPUT!$B$2*J1060/G1060^2))</f>
        <v>0</v>
      </c>
    </row>
    <row r="1061">
      <c r="A1061" s="187">
        <f>A981</f>
        <v>101</v>
      </c>
      <c r="B1061" s="174" t="str">
        <f>B478</f>
        <v>Negative</v>
      </c>
      <c r="C1061" s="174">
        <f>IF(B1061="Positive",INPUT!AG7,INPUT!AD7)</f>
        <v>2</v>
      </c>
      <c r="D1061" s="191">
        <f>IF(B1061="Positive",IF(INPUT!AG7=0,0,(INPUT!U7-INPUT!AG7*INPUT!AH7)/(INPUT!AG7+1)),IF(INPUT!AD7=0,0,(INPUT!K7-2*INPUT!M7-INPUT!AD7*INPUT!AE7)/(INPUT!AD7+1)))</f>
        <v>558.7770783930888</v>
      </c>
      <c r="E1061" s="174">
        <f>IF(B1061="Positive",D821,F821)</f>
        <v>12</v>
      </c>
      <c r="F1061" s="174">
        <f>IF(B1061="Positive",C821,E821)</f>
        <v>1936.3312351792665</v>
      </c>
      <c r="G1061" s="191">
        <f>IF(D1061=0,F1061,D1061)/E1061</f>
        <v>46.5647565327574</v>
      </c>
      <c r="H1061" s="174">
        <f>IF(B1061="Positive",1/3*INPUT!AH7*INPUT!AI7^3,1/3*INPUT!AE7*INPUT!AF7^3)</f>
        <v>13653333.333333332</v>
      </c>
      <c r="I1061" s="192">
        <f>IF(D1061=0,4,MIN(MAX((IF(C1061=1,8,0.894)*H1061/D1061/E1061^3)^(1/3),1),4))</f>
        <v>2.3295102753141137</v>
      </c>
      <c r="J1061" s="192">
        <f>IF(D1061=0,5.34,MIN((5.34+2.84*(H1061/D1061/E1061^3)^(1/3))/((C1061+1)^2),5.34))</f>
        <v>1.3563979013960836</v>
      </c>
      <c r="K1061" s="191">
        <f>0.57*SQRT(INPUT!$B$2*I1061/INPUT!AO7/L901)</f>
        <v>0</v>
      </c>
      <c r="L1061" s="191">
        <f>0.95*SQRT(INPUT!$B$2*I1061/(L901-0.3)/INPUT!AO7)</f>
        <v>0</v>
      </c>
      <c r="M1061" s="184">
        <f>IF(G1061&lt;=K1061,1*L981*INPUT!AO7*L901,IF(G1061&lt;=L1061,1*L981*INPUT!AO7*(L901-(L901-(L901-0.3)/L981)*(G1061-K1061)/(L1061-K1061)),0.9*INPUT!$B$2*1*I1061/G1061^2))</f>
        <v>0</v>
      </c>
      <c r="N1061" s="286">
        <f>IF(G1061&lt;=1.12*SQRT(INPUT!$B$2*J1061/INPUT!AO7),0.58*INPUT!AO7,IF(G1061&lt;=1.4*SQRT(INPUT!$B$2*J1061/INPUT!AO7),0.65*SQRT(INPUT!AO7*INPUT!$B$2*J1061)/G1061,0.9*INPUT!$B$2*J1061/G1061^2))</f>
        <v>0</v>
      </c>
    </row>
    <row r="1062">
      <c r="A1062" s="187">
        <f>A982</f>
        <v>101</v>
      </c>
      <c r="B1062" s="174" t="str">
        <f>B479</f>
        <v>Negative</v>
      </c>
      <c r="C1062" s="174">
        <f>IF(B1062="Positive",INPUT!AG8,INPUT!AD8)</f>
        <v>2</v>
      </c>
      <c r="D1062" s="191">
        <f>IF(B1062="Positive",IF(INPUT!AG8=0,0,(INPUT!U8-INPUT!AG8*INPUT!AH8)/(INPUT!AG8+1)),IF(INPUT!AD8=0,0,(INPUT!K8-2*INPUT!M8-INPUT!AD8*INPUT!AE8)/(INPUT!AD8+1)))</f>
        <v>558.7770783930888</v>
      </c>
      <c r="E1062" s="174">
        <f>IF(B1062="Positive",D822,F822)</f>
        <v>12</v>
      </c>
      <c r="F1062" s="174">
        <f>IF(B1062="Positive",C822,E822)</f>
        <v>1936.3312351792665</v>
      </c>
      <c r="G1062" s="191">
        <f>IF(D1062=0,F1062,D1062)/E1062</f>
        <v>46.5647565327574</v>
      </c>
      <c r="H1062" s="174">
        <f>IF(B1062="Positive",1/3*INPUT!AH8*INPUT!AI8^3,1/3*INPUT!AE8*INPUT!AF8^3)</f>
        <v>13653333.333333332</v>
      </c>
      <c r="I1062" s="192">
        <f>IF(D1062=0,4,MIN(MAX((IF(C1062=1,8,0.894)*H1062/D1062/E1062^3)^(1/3),1),4))</f>
        <v>2.3295102753141137</v>
      </c>
      <c r="J1062" s="192">
        <f>IF(D1062=0,5.34,MIN((5.34+2.84*(H1062/D1062/E1062^3)^(1/3))/((C1062+1)^2),5.34))</f>
        <v>1.3563979013960836</v>
      </c>
      <c r="K1062" s="191">
        <f>0.57*SQRT(INPUT!$B$2*I1062/INPUT!AO8/L902)</f>
        <v>0</v>
      </c>
      <c r="L1062" s="191">
        <f>0.95*SQRT(INPUT!$B$2*I1062/(L902-0.3)/INPUT!AO8)</f>
        <v>0</v>
      </c>
      <c r="M1062" s="184">
        <f>IF(G1062&lt;=K1062,1*L982*INPUT!AO8*L902,IF(G1062&lt;=L1062,1*L982*INPUT!AO8*(L902-(L902-(L902-0.3)/L982)*(G1062-K1062)/(L1062-K1062)),0.9*INPUT!$B$2*1*I1062/G1062^2))</f>
        <v>0</v>
      </c>
      <c r="N1062" s="286">
        <f>IF(G1062&lt;=1.12*SQRT(INPUT!$B$2*J1062/INPUT!AO8),0.58*INPUT!AO8,IF(G1062&lt;=1.4*SQRT(INPUT!$B$2*J1062/INPUT!AO8),0.65*SQRT(INPUT!AO8*INPUT!$B$2*J1062)/G1062,0.9*INPUT!$B$2*J1062/G1062^2))</f>
        <v>0</v>
      </c>
    </row>
    <row r="1063">
      <c r="A1063" s="187">
        <f>A983</f>
        <v>101</v>
      </c>
      <c r="B1063" s="174" t="str">
        <f>B480</f>
        <v>Negative</v>
      </c>
      <c r="C1063" s="174">
        <f>IF(B1063="Positive",INPUT!AG9,INPUT!AD9)</f>
        <v>2</v>
      </c>
      <c r="D1063" s="191">
        <f>IF(B1063="Positive",IF(INPUT!AG9=0,0,(INPUT!U9-INPUT!AG9*INPUT!AH9)/(INPUT!AG9+1)),IF(INPUT!AD9=0,0,(INPUT!K9-2*INPUT!M9-INPUT!AD9*INPUT!AE9)/(INPUT!AD9+1)))</f>
        <v>558.7770783930888</v>
      </c>
      <c r="E1063" s="174">
        <f>IF(B1063="Positive",D823,F823)</f>
        <v>12</v>
      </c>
      <c r="F1063" s="174">
        <f>IF(B1063="Positive",C823,E823)</f>
        <v>1936.3312351792665</v>
      </c>
      <c r="G1063" s="191">
        <f>IF(D1063=0,F1063,D1063)/E1063</f>
        <v>46.5647565327574</v>
      </c>
      <c r="H1063" s="174">
        <f>IF(B1063="Positive",1/3*INPUT!AH9*INPUT!AI9^3,1/3*INPUT!AE9*INPUT!AF9^3)</f>
        <v>13653333.333333332</v>
      </c>
      <c r="I1063" s="192">
        <f>IF(D1063=0,4,MIN(MAX((IF(C1063=1,8,0.894)*H1063/D1063/E1063^3)^(1/3),1),4))</f>
        <v>2.3295102753141137</v>
      </c>
      <c r="J1063" s="192">
        <f>IF(D1063=0,5.34,MIN((5.34+2.84*(H1063/D1063/E1063^3)^(1/3))/((C1063+1)^2),5.34))</f>
        <v>1.3563979013960836</v>
      </c>
      <c r="K1063" s="191">
        <f>0.57*SQRT(INPUT!$B$2*I1063/INPUT!AO9/L903)</f>
        <v>0</v>
      </c>
      <c r="L1063" s="191">
        <f>0.95*SQRT(INPUT!$B$2*I1063/(L903-0.3)/INPUT!AO9)</f>
        <v>0</v>
      </c>
      <c r="M1063" s="184">
        <f>IF(G1063&lt;=K1063,1*L983*INPUT!AO9*L903,IF(G1063&lt;=L1063,1*L983*INPUT!AO9*(L903-(L903-(L903-0.3)/L983)*(G1063-K1063)/(L1063-K1063)),0.9*INPUT!$B$2*1*I1063/G1063^2))</f>
        <v>0</v>
      </c>
      <c r="N1063" s="286">
        <f>IF(G1063&lt;=1.12*SQRT(INPUT!$B$2*J1063/INPUT!AO9),0.58*INPUT!AO9,IF(G1063&lt;=1.4*SQRT(INPUT!$B$2*J1063/INPUT!AO9),0.65*SQRT(INPUT!AO9*INPUT!$B$2*J1063)/G1063,0.9*INPUT!$B$2*J1063/G1063^2))</f>
        <v>0</v>
      </c>
    </row>
    <row r="1064">
      <c r="A1064" s="187">
        <f>A984</f>
        <v>101</v>
      </c>
      <c r="B1064" s="174" t="str">
        <f>B481</f>
        <v>Negative</v>
      </c>
      <c r="C1064" s="174">
        <f>IF(B1064="Positive",INPUT!AG10,INPUT!AD10)</f>
        <v>2</v>
      </c>
      <c r="D1064" s="191">
        <f>IF(B1064="Positive",IF(INPUT!AG10=0,0,(INPUT!U10-INPUT!AG10*INPUT!AH10)/(INPUT!AG10+1)),IF(INPUT!AD10=0,0,(INPUT!K10-2*INPUT!M10-INPUT!AD10*INPUT!AE10)/(INPUT!AD10+1)))</f>
        <v>558.7770783930888</v>
      </c>
      <c r="E1064" s="174">
        <f>IF(B1064="Positive",D824,F824)</f>
        <v>12</v>
      </c>
      <c r="F1064" s="174">
        <f>IF(B1064="Positive",C824,E824)</f>
        <v>1936.3312351792665</v>
      </c>
      <c r="G1064" s="191">
        <f>IF(D1064=0,F1064,D1064)/E1064</f>
        <v>46.5647565327574</v>
      </c>
      <c r="H1064" s="174">
        <f>IF(B1064="Positive",1/3*INPUT!AH10*INPUT!AI10^3,1/3*INPUT!AE10*INPUT!AF10^3)</f>
        <v>13653333.333333332</v>
      </c>
      <c r="I1064" s="192">
        <f>IF(D1064=0,4,MIN(MAX((IF(C1064=1,8,0.894)*H1064/D1064/E1064^3)^(1/3),1),4))</f>
        <v>2.3295102753141137</v>
      </c>
      <c r="J1064" s="192">
        <f>IF(D1064=0,5.34,MIN((5.34+2.84*(H1064/D1064/E1064^3)^(1/3))/((C1064+1)^2),5.34))</f>
        <v>1.3563979013960836</v>
      </c>
      <c r="K1064" s="191">
        <f>0.57*SQRT(INPUT!$B$2*I1064/INPUT!AO10/L904)</f>
        <v>0</v>
      </c>
      <c r="L1064" s="191">
        <f>0.95*SQRT(INPUT!$B$2*I1064/(L904-0.3)/INPUT!AO10)</f>
        <v>0</v>
      </c>
      <c r="M1064" s="184">
        <f>IF(G1064&lt;=K1064,1*L984*INPUT!AO10*L904,IF(G1064&lt;=L1064,1*L984*INPUT!AO10*(L904-(L904-(L904-0.3)/L984)*(G1064-K1064)/(L1064-K1064)),0.9*INPUT!$B$2*1*I1064/G1064^2))</f>
        <v>0</v>
      </c>
      <c r="N1064" s="286">
        <f>IF(G1064&lt;=1.12*SQRT(INPUT!$B$2*J1064/INPUT!AO10),0.58*INPUT!AO10,IF(G1064&lt;=1.4*SQRT(INPUT!$B$2*J1064/INPUT!AO10),0.65*SQRT(INPUT!AO10*INPUT!$B$2*J1064)/G1064,0.9*INPUT!$B$2*J1064/G1064^2))</f>
        <v>0</v>
      </c>
    </row>
    <row r="1065">
      <c r="A1065" s="187">
        <f>A985</f>
        <v>101</v>
      </c>
      <c r="B1065" s="174" t="str">
        <f>B482</f>
        <v>Negative</v>
      </c>
      <c r="C1065" s="174">
        <f>IF(B1065="Positive",INPUT!AG11,INPUT!AD11)</f>
        <v>2</v>
      </c>
      <c r="D1065" s="191">
        <f>IF(B1065="Positive",IF(INPUT!AG11=0,0,(INPUT!U11-INPUT!AG11*INPUT!AH11)/(INPUT!AG11+1)),IF(INPUT!AD11=0,0,(INPUT!K11-2*INPUT!M11-INPUT!AD11*INPUT!AE11)/(INPUT!AD11+1)))</f>
        <v>558.7770783930888</v>
      </c>
      <c r="E1065" s="174">
        <f>IF(B1065="Positive",D825,F825)</f>
        <v>12</v>
      </c>
      <c r="F1065" s="174">
        <f>IF(B1065="Positive",C825,E825)</f>
        <v>1936.3312351792665</v>
      </c>
      <c r="G1065" s="191">
        <f>IF(D1065=0,F1065,D1065)/E1065</f>
        <v>46.5647565327574</v>
      </c>
      <c r="H1065" s="174">
        <f>IF(B1065="Positive",1/3*INPUT!AH11*INPUT!AI11^3,1/3*INPUT!AE11*INPUT!AF11^3)</f>
        <v>13653333.333333332</v>
      </c>
      <c r="I1065" s="192">
        <f>IF(D1065=0,4,MIN(MAX((IF(C1065=1,8,0.894)*H1065/D1065/E1065^3)^(1/3),1),4))</f>
        <v>2.3295102753141137</v>
      </c>
      <c r="J1065" s="192">
        <f>IF(D1065=0,5.34,MIN((5.34+2.84*(H1065/D1065/E1065^3)^(1/3))/((C1065+1)^2),5.34))</f>
        <v>1.3563979013960836</v>
      </c>
      <c r="K1065" s="191">
        <f>0.57*SQRT(INPUT!$B$2*I1065/INPUT!AO11/L905)</f>
        <v>0</v>
      </c>
      <c r="L1065" s="191">
        <f>0.95*SQRT(INPUT!$B$2*I1065/(L905-0.3)/INPUT!AO11)</f>
        <v>0</v>
      </c>
      <c r="M1065" s="184">
        <f>IF(G1065&lt;=K1065,1*L985*INPUT!AO11*L905,IF(G1065&lt;=L1065,1*L985*INPUT!AO11*(L905-(L905-(L905-0.3)/L985)*(G1065-K1065)/(L1065-K1065)),0.9*INPUT!$B$2*1*I1065/G1065^2))</f>
        <v>0</v>
      </c>
      <c r="N1065" s="286">
        <f>IF(G1065&lt;=1.12*SQRT(INPUT!$B$2*J1065/INPUT!AO11),0.58*INPUT!AO11,IF(G1065&lt;=1.4*SQRT(INPUT!$B$2*J1065/INPUT!AO11),0.65*SQRT(INPUT!AO11*INPUT!$B$2*J1065)/G1065,0.9*INPUT!$B$2*J1065/G1065^2))</f>
        <v>0</v>
      </c>
    </row>
    <row r="1066">
      <c r="A1066" s="187">
        <f>A986</f>
        <v>101</v>
      </c>
      <c r="B1066" s="174" t="str">
        <f>B483</f>
        <v>Negative</v>
      </c>
      <c r="C1066" s="174">
        <f>IF(B1066="Positive",INPUT!AG12,INPUT!AD12)</f>
        <v>2</v>
      </c>
      <c r="D1066" s="191">
        <f>IF(B1066="Positive",IF(INPUT!AG12=0,0,(INPUT!U12-INPUT!AG12*INPUT!AH12)/(INPUT!AG12+1)),IF(INPUT!AD12=0,0,(INPUT!K12-2*INPUT!M12-INPUT!AD12*INPUT!AE12)/(INPUT!AD12+1)))</f>
        <v>558.7770783930888</v>
      </c>
      <c r="E1066" s="174">
        <f>IF(B1066="Positive",D826,F826)</f>
        <v>12</v>
      </c>
      <c r="F1066" s="174">
        <f>IF(B1066="Positive",C826,E826)</f>
        <v>1936.3312351792665</v>
      </c>
      <c r="G1066" s="191">
        <f>IF(D1066=0,F1066,D1066)/E1066</f>
        <v>46.5647565327574</v>
      </c>
      <c r="H1066" s="174">
        <f>IF(B1066="Positive",1/3*INPUT!AH12*INPUT!AI12^3,1/3*INPUT!AE12*INPUT!AF12^3)</f>
        <v>13653333.333333332</v>
      </c>
      <c r="I1066" s="192">
        <f>IF(D1066=0,4,MIN(MAX((IF(C1066=1,8,0.894)*H1066/D1066/E1066^3)^(1/3),1),4))</f>
        <v>2.3295102753141137</v>
      </c>
      <c r="J1066" s="192">
        <f>IF(D1066=0,5.34,MIN((5.34+2.84*(H1066/D1066/E1066^3)^(1/3))/((C1066+1)^2),5.34))</f>
        <v>1.3563979013960836</v>
      </c>
      <c r="K1066" s="191">
        <f>0.57*SQRT(INPUT!$B$2*I1066/INPUT!AO12/L906)</f>
        <v>0</v>
      </c>
      <c r="L1066" s="191">
        <f>0.95*SQRT(INPUT!$B$2*I1066/(L906-0.3)/INPUT!AO12)</f>
        <v>0</v>
      </c>
      <c r="M1066" s="184">
        <f>IF(G1066&lt;=K1066,1*L986*INPUT!AO12*L906,IF(G1066&lt;=L1066,1*L986*INPUT!AO12*(L906-(L906-(L906-0.3)/L986)*(G1066-K1066)/(L1066-K1066)),0.9*INPUT!$B$2*1*I1066/G1066^2))</f>
        <v>0</v>
      </c>
      <c r="N1066" s="286">
        <f>IF(G1066&lt;=1.12*SQRT(INPUT!$B$2*J1066/INPUT!AO12),0.58*INPUT!AO12,IF(G1066&lt;=1.4*SQRT(INPUT!$B$2*J1066/INPUT!AO12),0.65*SQRT(INPUT!AO12*INPUT!$B$2*J1066)/G1066,0.9*INPUT!$B$2*J1066/G1066^2))</f>
        <v>0</v>
      </c>
    </row>
    <row r="1067">
      <c r="A1067" s="187">
        <f>A987</f>
        <v>101</v>
      </c>
      <c r="B1067" s="174" t="str">
        <f>B484</f>
        <v>Negative</v>
      </c>
      <c r="C1067" s="174">
        <f>IF(B1067="Positive",INPUT!AG13,INPUT!AD13)</f>
        <v>2</v>
      </c>
      <c r="D1067" s="191">
        <f>IF(B1067="Positive",IF(INPUT!AG13=0,0,(INPUT!U13-INPUT!AG13*INPUT!AH13)/(INPUT!AG13+1)),IF(INPUT!AD13=0,0,(INPUT!K13-2*INPUT!M13-INPUT!AD13*INPUT!AE13)/(INPUT!AD13+1)))</f>
        <v>558.7770783930888</v>
      </c>
      <c r="E1067" s="174">
        <f>IF(B1067="Positive",D827,F827)</f>
        <v>12</v>
      </c>
      <c r="F1067" s="174">
        <f>IF(B1067="Positive",C827,E827)</f>
        <v>1936.3312351792665</v>
      </c>
      <c r="G1067" s="191">
        <f>IF(D1067=0,F1067,D1067)/E1067</f>
        <v>46.5647565327574</v>
      </c>
      <c r="H1067" s="174">
        <f>IF(B1067="Positive",1/3*INPUT!AH13*INPUT!AI13^3,1/3*INPUT!AE13*INPUT!AF13^3)</f>
        <v>13653333.333333332</v>
      </c>
      <c r="I1067" s="192">
        <f>IF(D1067=0,4,MIN(MAX((IF(C1067=1,8,0.894)*H1067/D1067/E1067^3)^(1/3),1),4))</f>
        <v>2.3295102753141137</v>
      </c>
      <c r="J1067" s="192">
        <f>IF(D1067=0,5.34,MIN((5.34+2.84*(H1067/D1067/E1067^3)^(1/3))/((C1067+1)^2),5.34))</f>
        <v>1.3563979013960836</v>
      </c>
      <c r="K1067" s="191">
        <f>0.57*SQRT(INPUT!$B$2*I1067/INPUT!AO13/L907)</f>
        <v>0</v>
      </c>
      <c r="L1067" s="191">
        <f>0.95*SQRT(INPUT!$B$2*I1067/(L907-0.3)/INPUT!AO13)</f>
        <v>0</v>
      </c>
      <c r="M1067" s="184">
        <f>IF(G1067&lt;=K1067,1*L987*INPUT!AO13*L907,IF(G1067&lt;=L1067,1*L987*INPUT!AO13*(L907-(L907-(L907-0.3)/L987)*(G1067-K1067)/(L1067-K1067)),0.9*INPUT!$B$2*1*I1067/G1067^2))</f>
        <v>0</v>
      </c>
      <c r="N1067" s="286">
        <f>IF(G1067&lt;=1.12*SQRT(INPUT!$B$2*J1067/INPUT!AO13),0.58*INPUT!AO13,IF(G1067&lt;=1.4*SQRT(INPUT!$B$2*J1067/INPUT!AO13),0.65*SQRT(INPUT!AO13*INPUT!$B$2*J1067)/G1067,0.9*INPUT!$B$2*J1067/G1067^2))</f>
        <v>0</v>
      </c>
    </row>
    <row r="1068">
      <c r="A1068" s="187">
        <f>A988</f>
        <v>101</v>
      </c>
      <c r="B1068" s="174" t="str">
        <f>B485</f>
        <v>Negative</v>
      </c>
      <c r="C1068" s="174">
        <f>IF(B1068="Positive",INPUT!AG14,INPUT!AD14)</f>
        <v>2</v>
      </c>
      <c r="D1068" s="191">
        <f>IF(B1068="Positive",IF(INPUT!AG14=0,0,(INPUT!U14-INPUT!AG14*INPUT!AH14)/(INPUT!AG14+1)),IF(INPUT!AD14=0,0,(INPUT!K14-2*INPUT!M14-INPUT!AD14*INPUT!AE14)/(INPUT!AD14+1)))</f>
        <v>558.7770783930888</v>
      </c>
      <c r="E1068" s="174">
        <f>IF(B1068="Positive",D828,F828)</f>
        <v>12</v>
      </c>
      <c r="F1068" s="174">
        <f>IF(B1068="Positive",C828,E828)</f>
        <v>1936.3312351792665</v>
      </c>
      <c r="G1068" s="191">
        <f>IF(D1068=0,F1068,D1068)/E1068</f>
        <v>46.5647565327574</v>
      </c>
      <c r="H1068" s="174">
        <f>IF(B1068="Positive",1/3*INPUT!AH14*INPUT!AI14^3,1/3*INPUT!AE14*INPUT!AF14^3)</f>
        <v>13653333.333333332</v>
      </c>
      <c r="I1068" s="192">
        <f>IF(D1068=0,4,MIN(MAX((IF(C1068=1,8,0.894)*H1068/D1068/E1068^3)^(1/3),1),4))</f>
        <v>2.3295102753141137</v>
      </c>
      <c r="J1068" s="192">
        <f>IF(D1068=0,5.34,MIN((5.34+2.84*(H1068/D1068/E1068^3)^(1/3))/((C1068+1)^2),5.34))</f>
        <v>1.3563979013960836</v>
      </c>
      <c r="K1068" s="191">
        <f>0.57*SQRT(INPUT!$B$2*I1068/INPUT!AO14/L908)</f>
        <v>0</v>
      </c>
      <c r="L1068" s="191">
        <f>0.95*SQRT(INPUT!$B$2*I1068/(L908-0.3)/INPUT!AO14)</f>
        <v>0</v>
      </c>
      <c r="M1068" s="184">
        <f>IF(G1068&lt;=K1068,1*L988*INPUT!AO14*L908,IF(G1068&lt;=L1068,1*L988*INPUT!AO14*(L908-(L908-(L908-0.3)/L988)*(G1068-K1068)/(L1068-K1068)),0.9*INPUT!$B$2*1*I1068/G1068^2))</f>
        <v>0</v>
      </c>
      <c r="N1068" s="286">
        <f>IF(G1068&lt;=1.12*SQRT(INPUT!$B$2*J1068/INPUT!AO14),0.58*INPUT!AO14,IF(G1068&lt;=1.4*SQRT(INPUT!$B$2*J1068/INPUT!AO14),0.65*SQRT(INPUT!AO14*INPUT!$B$2*J1068)/G1068,0.9*INPUT!$B$2*J1068/G1068^2))</f>
        <v>0</v>
      </c>
    </row>
    <row r="1069">
      <c r="A1069" s="187">
        <f>A989</f>
        <v>101</v>
      </c>
      <c r="B1069" s="174" t="str">
        <f>B486</f>
        <v>Negative</v>
      </c>
      <c r="C1069" s="174">
        <f>IF(B1069="Positive",INPUT!AG15,INPUT!AD15)</f>
        <v>2</v>
      </c>
      <c r="D1069" s="191">
        <f>IF(B1069="Positive",IF(INPUT!AG15=0,0,(INPUT!U15-INPUT!AG15*INPUT!AH15)/(INPUT!AG15+1)),IF(INPUT!AD15=0,0,(INPUT!K15-2*INPUT!M15-INPUT!AD15*INPUT!AE15)/(INPUT!AD15+1)))</f>
        <v>558.7770783930888</v>
      </c>
      <c r="E1069" s="174">
        <f>IF(B1069="Positive",D829,F829)</f>
        <v>12</v>
      </c>
      <c r="F1069" s="174">
        <f>IF(B1069="Positive",C829,E829)</f>
        <v>1936.3312351792665</v>
      </c>
      <c r="G1069" s="191">
        <f>IF(D1069=0,F1069,D1069)/E1069</f>
        <v>46.5647565327574</v>
      </c>
      <c r="H1069" s="174">
        <f>IF(B1069="Positive",1/3*INPUT!AH15*INPUT!AI15^3,1/3*INPUT!AE15*INPUT!AF15^3)</f>
        <v>13653333.333333332</v>
      </c>
      <c r="I1069" s="192">
        <f>IF(D1069=0,4,MIN(MAX((IF(C1069=1,8,0.894)*H1069/D1069/E1069^3)^(1/3),1),4))</f>
        <v>2.3295102753141137</v>
      </c>
      <c r="J1069" s="192">
        <f>IF(D1069=0,5.34,MIN((5.34+2.84*(H1069/D1069/E1069^3)^(1/3))/((C1069+1)^2),5.34))</f>
        <v>1.3563979013960836</v>
      </c>
      <c r="K1069" s="191">
        <f>0.57*SQRT(INPUT!$B$2*I1069/INPUT!AO15/L909)</f>
        <v>0</v>
      </c>
      <c r="L1069" s="191">
        <f>0.95*SQRT(INPUT!$B$2*I1069/(L909-0.3)/INPUT!AO15)</f>
        <v>0</v>
      </c>
      <c r="M1069" s="184">
        <f>IF(G1069&lt;=K1069,1*L989*INPUT!AO15*L909,IF(G1069&lt;=L1069,1*L989*INPUT!AO15*(L909-(L909-(L909-0.3)/L989)*(G1069-K1069)/(L1069-K1069)),0.9*INPUT!$B$2*1*I1069/G1069^2))</f>
        <v>0</v>
      </c>
      <c r="N1069" s="286">
        <f>IF(G1069&lt;=1.12*SQRT(INPUT!$B$2*J1069/INPUT!AO15),0.58*INPUT!AO15,IF(G1069&lt;=1.4*SQRT(INPUT!$B$2*J1069/INPUT!AO15),0.65*SQRT(INPUT!AO15*INPUT!$B$2*J1069)/G1069,0.9*INPUT!$B$2*J1069/G1069^2))</f>
        <v>0</v>
      </c>
    </row>
    <row r="1070">
      <c r="A1070" s="187">
        <f>A990</f>
        <v>101</v>
      </c>
      <c r="B1070" s="174" t="str">
        <f>B487</f>
        <v>Negative</v>
      </c>
      <c r="C1070" s="174">
        <f>IF(B1070="Positive",INPUT!AG16,INPUT!AD16)</f>
        <v>2</v>
      </c>
      <c r="D1070" s="191">
        <f>IF(B1070="Positive",IF(INPUT!AG16=0,0,(INPUT!U16-INPUT!AG16*INPUT!AH16)/(INPUT!AG16+1)),IF(INPUT!AD16=0,0,(INPUT!K16-2*INPUT!M16-INPUT!AD16*INPUT!AE16)/(INPUT!AD16+1)))</f>
        <v>558.7770783930888</v>
      </c>
      <c r="E1070" s="174">
        <f>IF(B1070="Positive",D830,F830)</f>
        <v>12</v>
      </c>
      <c r="F1070" s="174">
        <f>IF(B1070="Positive",C830,E830)</f>
        <v>1936.3312351792665</v>
      </c>
      <c r="G1070" s="191">
        <f>IF(D1070=0,F1070,D1070)/E1070</f>
        <v>46.5647565327574</v>
      </c>
      <c r="H1070" s="174">
        <f>IF(B1070="Positive",1/3*INPUT!AH16*INPUT!AI16^3,1/3*INPUT!AE16*INPUT!AF16^3)</f>
        <v>13653333.333333332</v>
      </c>
      <c r="I1070" s="192">
        <f>IF(D1070=0,4,MIN(MAX((IF(C1070=1,8,0.894)*H1070/D1070/E1070^3)^(1/3),1),4))</f>
        <v>2.3295102753141137</v>
      </c>
      <c r="J1070" s="192">
        <f>IF(D1070=0,5.34,MIN((5.34+2.84*(H1070/D1070/E1070^3)^(1/3))/((C1070+1)^2),5.34))</f>
        <v>1.3563979013960836</v>
      </c>
      <c r="K1070" s="191">
        <f>0.57*SQRT(INPUT!$B$2*I1070/INPUT!AO16/L910)</f>
        <v>0</v>
      </c>
      <c r="L1070" s="191">
        <f>0.95*SQRT(INPUT!$B$2*I1070/(L910-0.3)/INPUT!AO16)</f>
        <v>0</v>
      </c>
      <c r="M1070" s="184">
        <f>IF(G1070&lt;=K1070,1*L990*INPUT!AO16*L910,IF(G1070&lt;=L1070,1*L990*INPUT!AO16*(L910-(L910-(L910-0.3)/L990)*(G1070-K1070)/(L1070-K1070)),0.9*INPUT!$B$2*1*I1070/G1070^2))</f>
        <v>0</v>
      </c>
      <c r="N1070" s="286">
        <f>IF(G1070&lt;=1.12*SQRT(INPUT!$B$2*J1070/INPUT!AO16),0.58*INPUT!AO16,IF(G1070&lt;=1.4*SQRT(INPUT!$B$2*J1070/INPUT!AO16),0.65*SQRT(INPUT!AO16*INPUT!$B$2*J1070)/G1070,0.9*INPUT!$B$2*J1070/G1070^2))</f>
        <v>0</v>
      </c>
    </row>
    <row r="1071">
      <c r="A1071" s="187">
        <f>A991</f>
        <v>101</v>
      </c>
      <c r="B1071" s="174" t="str">
        <f>B488</f>
        <v>Negative</v>
      </c>
      <c r="C1071" s="174">
        <f>IF(B1071="Positive",INPUT!AG17,INPUT!AD17)</f>
        <v>2</v>
      </c>
      <c r="D1071" s="191">
        <f>IF(B1071="Positive",IF(INPUT!AG17=0,0,(INPUT!U17-INPUT!AG17*INPUT!AH17)/(INPUT!AG17+1)),IF(INPUT!AD17=0,0,(INPUT!K17-2*INPUT!M17-INPUT!AD17*INPUT!AE17)/(INPUT!AD17+1)))</f>
        <v>558.7770783930888</v>
      </c>
      <c r="E1071" s="174">
        <f>IF(B1071="Positive",D831,F831)</f>
        <v>12</v>
      </c>
      <c r="F1071" s="174">
        <f>IF(B1071="Positive",C831,E831)</f>
        <v>1936.3312351792665</v>
      </c>
      <c r="G1071" s="191">
        <f>IF(D1071=0,F1071,D1071)/E1071</f>
        <v>46.5647565327574</v>
      </c>
      <c r="H1071" s="174">
        <f>IF(B1071="Positive",1/3*INPUT!AH17*INPUT!AI17^3,1/3*INPUT!AE17*INPUT!AF17^3)</f>
        <v>13653333.333333332</v>
      </c>
      <c r="I1071" s="192">
        <f>IF(D1071=0,4,MIN(MAX((IF(C1071=1,8,0.894)*H1071/D1071/E1071^3)^(1/3),1),4))</f>
        <v>2.3295102753141137</v>
      </c>
      <c r="J1071" s="192">
        <f>IF(D1071=0,5.34,MIN((5.34+2.84*(H1071/D1071/E1071^3)^(1/3))/((C1071+1)^2),5.34))</f>
        <v>1.3563979013960836</v>
      </c>
      <c r="K1071" s="191">
        <f>0.57*SQRT(INPUT!$B$2*I1071/INPUT!AO17/L911)</f>
        <v>0</v>
      </c>
      <c r="L1071" s="191">
        <f>0.95*SQRT(INPUT!$B$2*I1071/(L911-0.3)/INPUT!AO17)</f>
        <v>0</v>
      </c>
      <c r="M1071" s="184">
        <f>IF(G1071&lt;=K1071,1*L991*INPUT!AO17*L911,IF(G1071&lt;=L1071,1*L991*INPUT!AO17*(L911-(L911-(L911-0.3)/L991)*(G1071-K1071)/(L1071-K1071)),0.9*INPUT!$B$2*1*I1071/G1071^2))</f>
        <v>0</v>
      </c>
      <c r="N1071" s="286">
        <f>IF(G1071&lt;=1.12*SQRT(INPUT!$B$2*J1071/INPUT!AO17),0.58*INPUT!AO17,IF(G1071&lt;=1.4*SQRT(INPUT!$B$2*J1071/INPUT!AO17),0.65*SQRT(INPUT!AO17*INPUT!$B$2*J1071)/G1071,0.9*INPUT!$B$2*J1071/G1071^2))</f>
        <v>0</v>
      </c>
    </row>
    <row r="1072">
      <c r="A1072" s="187">
        <f>A992</f>
        <v>101</v>
      </c>
      <c r="B1072" s="174" t="str">
        <f>B489</f>
        <v>Negative</v>
      </c>
      <c r="C1072" s="174">
        <f>IF(B1072="Positive",INPUT!AG18,INPUT!AD18)</f>
        <v>2</v>
      </c>
      <c r="D1072" s="191">
        <f>IF(B1072="Positive",IF(INPUT!AG18=0,0,(INPUT!U18-INPUT!AG18*INPUT!AH18)/(INPUT!AG18+1)),IF(INPUT!AD18=0,0,(INPUT!K18-2*INPUT!M18-INPUT!AD18*INPUT!AE18)/(INPUT!AD18+1)))</f>
        <v>558.7770783930888</v>
      </c>
      <c r="E1072" s="174">
        <f>IF(B1072="Positive",D832,F832)</f>
        <v>12</v>
      </c>
      <c r="F1072" s="174">
        <f>IF(B1072="Positive",C832,E832)</f>
        <v>1936.3312351792665</v>
      </c>
      <c r="G1072" s="191">
        <f>IF(D1072=0,F1072,D1072)/E1072</f>
        <v>46.5647565327574</v>
      </c>
      <c r="H1072" s="174">
        <f>IF(B1072="Positive",1/3*INPUT!AH18*INPUT!AI18^3,1/3*INPUT!AE18*INPUT!AF18^3)</f>
        <v>13653333.333333332</v>
      </c>
      <c r="I1072" s="192">
        <f>IF(D1072=0,4,MIN(MAX((IF(C1072=1,8,0.894)*H1072/D1072/E1072^3)^(1/3),1),4))</f>
        <v>2.3295102753141137</v>
      </c>
      <c r="J1072" s="192">
        <f>IF(D1072=0,5.34,MIN((5.34+2.84*(H1072/D1072/E1072^3)^(1/3))/((C1072+1)^2),5.34))</f>
        <v>1.3563979013960836</v>
      </c>
      <c r="K1072" s="191">
        <f>0.57*SQRT(INPUT!$B$2*I1072/INPUT!AO18/L912)</f>
        <v>0</v>
      </c>
      <c r="L1072" s="191">
        <f>0.95*SQRT(INPUT!$B$2*I1072/(L912-0.3)/INPUT!AO18)</f>
        <v>0</v>
      </c>
      <c r="M1072" s="184">
        <f>IF(G1072&lt;=K1072,1*L992*INPUT!AO18*L912,IF(G1072&lt;=L1072,1*L992*INPUT!AO18*(L912-(L912-(L912-0.3)/L992)*(G1072-K1072)/(L1072-K1072)),0.9*INPUT!$B$2*1*I1072/G1072^2))</f>
        <v>0</v>
      </c>
      <c r="N1072" s="286">
        <f>IF(G1072&lt;=1.12*SQRT(INPUT!$B$2*J1072/INPUT!AO18),0.58*INPUT!AO18,IF(G1072&lt;=1.4*SQRT(INPUT!$B$2*J1072/INPUT!AO18),0.65*SQRT(INPUT!AO18*INPUT!$B$2*J1072)/G1072,0.9*INPUT!$B$2*J1072/G1072^2))</f>
        <v>0</v>
      </c>
    </row>
    <row r="1073">
      <c r="A1073" s="187">
        <f>A993</f>
        <v>101</v>
      </c>
      <c r="B1073" s="174" t="str">
        <f>B490</f>
        <v>Negative</v>
      </c>
      <c r="C1073" s="174">
        <f>IF(B1073="Positive",INPUT!AG19,INPUT!AD19)</f>
        <v>2</v>
      </c>
      <c r="D1073" s="191">
        <f>IF(B1073="Positive",IF(INPUT!AG19=0,0,(INPUT!U19-INPUT!AG19*INPUT!AH19)/(INPUT!AG19+1)),IF(INPUT!AD19=0,0,(INPUT!K19-2*INPUT!M19-INPUT!AD19*INPUT!AE19)/(INPUT!AD19+1)))</f>
        <v>558.7770783930888</v>
      </c>
      <c r="E1073" s="174">
        <f>IF(B1073="Positive",D833,F833)</f>
        <v>12</v>
      </c>
      <c r="F1073" s="174">
        <f>IF(B1073="Positive",C833,E833)</f>
        <v>1936.3312351792665</v>
      </c>
      <c r="G1073" s="191">
        <f>IF(D1073=0,F1073,D1073)/E1073</f>
        <v>46.5647565327574</v>
      </c>
      <c r="H1073" s="174">
        <f>IF(B1073="Positive",1/3*INPUT!AH19*INPUT!AI19^3,1/3*INPUT!AE19*INPUT!AF19^3)</f>
        <v>13653333.333333332</v>
      </c>
      <c r="I1073" s="192">
        <f>IF(D1073=0,4,MIN(MAX((IF(C1073=1,8,0.894)*H1073/D1073/E1073^3)^(1/3),1),4))</f>
        <v>2.3295102753141137</v>
      </c>
      <c r="J1073" s="192">
        <f>IF(D1073=0,5.34,MIN((5.34+2.84*(H1073/D1073/E1073^3)^(1/3))/((C1073+1)^2),5.34))</f>
        <v>1.3563979013960836</v>
      </c>
      <c r="K1073" s="191">
        <f>0.57*SQRT(INPUT!$B$2*I1073/INPUT!AO19/L913)</f>
        <v>0</v>
      </c>
      <c r="L1073" s="191">
        <f>0.95*SQRT(INPUT!$B$2*I1073/(L913-0.3)/INPUT!AO19)</f>
        <v>0</v>
      </c>
      <c r="M1073" s="184">
        <f>IF(G1073&lt;=K1073,1*L993*INPUT!AO19*L913,IF(G1073&lt;=L1073,1*L993*INPUT!AO19*(L913-(L913-(L913-0.3)/L993)*(G1073-K1073)/(L1073-K1073)),0.9*INPUT!$B$2*1*I1073/G1073^2))</f>
        <v>0</v>
      </c>
      <c r="N1073" s="286">
        <f>IF(G1073&lt;=1.12*SQRT(INPUT!$B$2*J1073/INPUT!AO19),0.58*INPUT!AO19,IF(G1073&lt;=1.4*SQRT(INPUT!$B$2*J1073/INPUT!AO19),0.65*SQRT(INPUT!AO19*INPUT!$B$2*J1073)/G1073,0.9*INPUT!$B$2*J1073/G1073^2))</f>
        <v>0</v>
      </c>
    </row>
    <row r="1074">
      <c r="A1074" s="187">
        <f>A994</f>
        <v>101</v>
      </c>
      <c r="B1074" s="174" t="str">
        <f>B491</f>
        <v>Negative</v>
      </c>
      <c r="C1074" s="174">
        <f>IF(B1074="Positive",INPUT!AG20,INPUT!AD20)</f>
        <v>2</v>
      </c>
      <c r="D1074" s="191">
        <f>IF(B1074="Positive",IF(INPUT!AG20=0,0,(INPUT!U20-INPUT!AG20*INPUT!AH20)/(INPUT!AG20+1)),IF(INPUT!AD20=0,0,(INPUT!K20-2*INPUT!M20-INPUT!AD20*INPUT!AE20)/(INPUT!AD20+1)))</f>
        <v>558.7770783930888</v>
      </c>
      <c r="E1074" s="174">
        <f>IF(B1074="Positive",D834,F834)</f>
        <v>12</v>
      </c>
      <c r="F1074" s="174">
        <f>IF(B1074="Positive",C834,E834)</f>
        <v>1936.3312351792665</v>
      </c>
      <c r="G1074" s="191">
        <f>IF(D1074=0,F1074,D1074)/E1074</f>
        <v>46.5647565327574</v>
      </c>
      <c r="H1074" s="174">
        <f>IF(B1074="Positive",1/3*INPUT!AH20*INPUT!AI20^3,1/3*INPUT!AE20*INPUT!AF20^3)</f>
        <v>13653333.333333332</v>
      </c>
      <c r="I1074" s="192">
        <f>IF(D1074=0,4,MIN(MAX((IF(C1074=1,8,0.894)*H1074/D1074/E1074^3)^(1/3),1),4))</f>
        <v>2.3295102753141137</v>
      </c>
      <c r="J1074" s="192">
        <f>IF(D1074=0,5.34,MIN((5.34+2.84*(H1074/D1074/E1074^3)^(1/3))/((C1074+1)^2),5.34))</f>
        <v>1.3563979013960836</v>
      </c>
      <c r="K1074" s="191">
        <f>0.57*SQRT(INPUT!$B$2*I1074/INPUT!AO20/L914)</f>
        <v>0</v>
      </c>
      <c r="L1074" s="191">
        <f>0.95*SQRT(INPUT!$B$2*I1074/(L914-0.3)/INPUT!AO20)</f>
        <v>0</v>
      </c>
      <c r="M1074" s="184">
        <f>IF(G1074&lt;=K1074,1*L994*INPUT!AO20*L914,IF(G1074&lt;=L1074,1*L994*INPUT!AO20*(L914-(L914-(L914-0.3)/L994)*(G1074-K1074)/(L1074-K1074)),0.9*INPUT!$B$2*1*I1074/G1074^2))</f>
        <v>0</v>
      </c>
      <c r="N1074" s="286">
        <f>IF(G1074&lt;=1.12*SQRT(INPUT!$B$2*J1074/INPUT!AO20),0.58*INPUT!AO20,IF(G1074&lt;=1.4*SQRT(INPUT!$B$2*J1074/INPUT!AO20),0.65*SQRT(INPUT!AO20*INPUT!$B$2*J1074)/G1074,0.9*INPUT!$B$2*J1074/G1074^2))</f>
        <v>0</v>
      </c>
    </row>
    <row r="1075">
      <c r="A1075" s="187">
        <f>A995</f>
        <v>101</v>
      </c>
      <c r="B1075" s="174" t="str">
        <f>B492</f>
        <v>Negative</v>
      </c>
      <c r="C1075" s="174">
        <f>IF(B1075="Positive",INPUT!AG21,INPUT!AD21)</f>
        <v>2</v>
      </c>
      <c r="D1075" s="191">
        <f>IF(B1075="Positive",IF(INPUT!AG21=0,0,(INPUT!U21-INPUT!AG21*INPUT!AH21)/(INPUT!AG21+1)),IF(INPUT!AD21=0,0,(INPUT!K21-2*INPUT!M21-INPUT!AD21*INPUT!AE21)/(INPUT!AD21+1)))</f>
        <v>558.7770783930888</v>
      </c>
      <c r="E1075" s="174">
        <f>IF(B1075="Positive",D835,F835)</f>
        <v>12</v>
      </c>
      <c r="F1075" s="174">
        <f>IF(B1075="Positive",C835,E835)</f>
        <v>1936.3312351792665</v>
      </c>
      <c r="G1075" s="191">
        <f>IF(D1075=0,F1075,D1075)/E1075</f>
        <v>46.5647565327574</v>
      </c>
      <c r="H1075" s="174">
        <f>IF(B1075="Positive",1/3*INPUT!AH21*INPUT!AI21^3,1/3*INPUT!AE21*INPUT!AF21^3)</f>
        <v>13653333.333333332</v>
      </c>
      <c r="I1075" s="192">
        <f>IF(D1075=0,4,MIN(MAX((IF(C1075=1,8,0.894)*H1075/D1075/E1075^3)^(1/3),1),4))</f>
        <v>2.3295102753141137</v>
      </c>
      <c r="J1075" s="192">
        <f>IF(D1075=0,5.34,MIN((5.34+2.84*(H1075/D1075/E1075^3)^(1/3))/((C1075+1)^2),5.34))</f>
        <v>1.3563979013960836</v>
      </c>
      <c r="K1075" s="191">
        <f>0.57*SQRT(INPUT!$B$2*I1075/INPUT!AO21/L915)</f>
        <v>0</v>
      </c>
      <c r="L1075" s="191">
        <f>0.95*SQRT(INPUT!$B$2*I1075/(L915-0.3)/INPUT!AO21)</f>
        <v>0</v>
      </c>
      <c r="M1075" s="184">
        <f>IF(G1075&lt;=K1075,1*L995*INPUT!AO21*L915,IF(G1075&lt;=L1075,1*L995*INPUT!AO21*(L915-(L915-(L915-0.3)/L995)*(G1075-K1075)/(L1075-K1075)),0.9*INPUT!$B$2*1*I1075/G1075^2))</f>
        <v>0</v>
      </c>
      <c r="N1075" s="286">
        <f>IF(G1075&lt;=1.12*SQRT(INPUT!$B$2*J1075/INPUT!AO21),0.58*INPUT!AO21,IF(G1075&lt;=1.4*SQRT(INPUT!$B$2*J1075/INPUT!AO21),0.65*SQRT(INPUT!AO21*INPUT!$B$2*J1075)/G1075,0.9*INPUT!$B$2*J1075/G1075^2))</f>
        <v>0</v>
      </c>
    </row>
    <row r="1076">
      <c r="A1076" s="187">
        <f>A996</f>
        <v>101</v>
      </c>
      <c r="B1076" s="174" t="str">
        <f>B493</f>
        <v>Negative</v>
      </c>
      <c r="C1076" s="174">
        <f>IF(B1076="Positive",INPUT!AG22,INPUT!AD22)</f>
        <v>2</v>
      </c>
      <c r="D1076" s="191">
        <f>IF(B1076="Positive",IF(INPUT!AG22=0,0,(INPUT!U22-INPUT!AG22*INPUT!AH22)/(INPUT!AG22+1)),IF(INPUT!AD22=0,0,(INPUT!K22-2*INPUT!M22-INPUT!AD22*INPUT!AE22)/(INPUT!AD22+1)))</f>
        <v>558.7770783930888</v>
      </c>
      <c r="E1076" s="174">
        <f>IF(B1076="Positive",D836,F836)</f>
        <v>12</v>
      </c>
      <c r="F1076" s="174">
        <f>IF(B1076="Positive",C836,E836)</f>
        <v>1936.3312351792665</v>
      </c>
      <c r="G1076" s="191">
        <f>IF(D1076=0,F1076,D1076)/E1076</f>
        <v>46.5647565327574</v>
      </c>
      <c r="H1076" s="174">
        <f>IF(B1076="Positive",1/3*INPUT!AH22*INPUT!AI22^3,1/3*INPUT!AE22*INPUT!AF22^3)</f>
        <v>13653333.333333332</v>
      </c>
      <c r="I1076" s="192">
        <f>IF(D1076=0,4,MIN(MAX((IF(C1076=1,8,0.894)*H1076/D1076/E1076^3)^(1/3),1),4))</f>
        <v>2.3295102753141137</v>
      </c>
      <c r="J1076" s="192">
        <f>IF(D1076=0,5.34,MIN((5.34+2.84*(H1076/D1076/E1076^3)^(1/3))/((C1076+1)^2),5.34))</f>
        <v>1.3563979013960836</v>
      </c>
      <c r="K1076" s="191">
        <f>0.57*SQRT(INPUT!$B$2*I1076/INPUT!AO22/L916)</f>
        <v>0</v>
      </c>
      <c r="L1076" s="191">
        <f>0.95*SQRT(INPUT!$B$2*I1076/(L916-0.3)/INPUT!AO22)</f>
        <v>0</v>
      </c>
      <c r="M1076" s="184">
        <f>IF(G1076&lt;=K1076,1*L996*INPUT!AO22*L916,IF(G1076&lt;=L1076,1*L996*INPUT!AO22*(L916-(L916-(L916-0.3)/L996)*(G1076-K1076)/(L1076-K1076)),0.9*INPUT!$B$2*1*I1076/G1076^2))</f>
        <v>0</v>
      </c>
      <c r="N1076" s="286">
        <f>IF(G1076&lt;=1.12*SQRT(INPUT!$B$2*J1076/INPUT!AO22),0.58*INPUT!AO22,IF(G1076&lt;=1.4*SQRT(INPUT!$B$2*J1076/INPUT!AO22),0.65*SQRT(INPUT!AO22*INPUT!$B$2*J1076)/G1076,0.9*INPUT!$B$2*J1076/G1076^2))</f>
        <v>0</v>
      </c>
    </row>
    <row r="1077">
      <c r="A1077" s="187">
        <f>A997</f>
        <v>101</v>
      </c>
      <c r="B1077" s="174" t="str">
        <f>B494</f>
        <v>Negative</v>
      </c>
      <c r="C1077" s="174">
        <f>IF(B1077="Positive",INPUT!AG23,INPUT!AD23)</f>
        <v>2</v>
      </c>
      <c r="D1077" s="191">
        <f>IF(B1077="Positive",IF(INPUT!AG23=0,0,(INPUT!U23-INPUT!AG23*INPUT!AH23)/(INPUT!AG23+1)),IF(INPUT!AD23=0,0,(INPUT!K23-2*INPUT!M23-INPUT!AD23*INPUT!AE23)/(INPUT!AD23+1)))</f>
        <v>558.7770783930888</v>
      </c>
      <c r="E1077" s="174">
        <f>IF(B1077="Positive",D837,F837)</f>
        <v>12</v>
      </c>
      <c r="F1077" s="174">
        <f>IF(B1077="Positive",C837,E837)</f>
        <v>1936.3312351792665</v>
      </c>
      <c r="G1077" s="191">
        <f>IF(D1077=0,F1077,D1077)/E1077</f>
        <v>46.5647565327574</v>
      </c>
      <c r="H1077" s="174">
        <f>IF(B1077="Positive",1/3*INPUT!AH23*INPUT!AI23^3,1/3*INPUT!AE23*INPUT!AF23^3)</f>
        <v>13653333.333333332</v>
      </c>
      <c r="I1077" s="192">
        <f>IF(D1077=0,4,MIN(MAX((IF(C1077=1,8,0.894)*H1077/D1077/E1077^3)^(1/3),1),4))</f>
        <v>2.3295102753141137</v>
      </c>
      <c r="J1077" s="192">
        <f>IF(D1077=0,5.34,MIN((5.34+2.84*(H1077/D1077/E1077^3)^(1/3))/((C1077+1)^2),5.34))</f>
        <v>1.3563979013960836</v>
      </c>
      <c r="K1077" s="191">
        <f>0.57*SQRT(INPUT!$B$2*I1077/INPUT!AO23/L917)</f>
        <v>0</v>
      </c>
      <c r="L1077" s="191">
        <f>0.95*SQRT(INPUT!$B$2*I1077/(L917-0.3)/INPUT!AO23)</f>
        <v>0</v>
      </c>
      <c r="M1077" s="184">
        <f>IF(G1077&lt;=K1077,1*L997*INPUT!AO23*L917,IF(G1077&lt;=L1077,1*L997*INPUT!AO23*(L917-(L917-(L917-0.3)/L997)*(G1077-K1077)/(L1077-K1077)),0.9*INPUT!$B$2*1*I1077/G1077^2))</f>
        <v>0</v>
      </c>
      <c r="N1077" s="286">
        <f>IF(G1077&lt;=1.12*SQRT(INPUT!$B$2*J1077/INPUT!AO23),0.58*INPUT!AO23,IF(G1077&lt;=1.4*SQRT(INPUT!$B$2*J1077/INPUT!AO23),0.65*SQRT(INPUT!AO23*INPUT!$B$2*J1077)/G1077,0.9*INPUT!$B$2*J1077/G1077^2))</f>
        <v>0</v>
      </c>
    </row>
    <row r="1078">
      <c r="A1078" s="187">
        <f>A998</f>
        <v>101</v>
      </c>
      <c r="B1078" s="174" t="str">
        <f>B495</f>
        <v>Negative</v>
      </c>
      <c r="C1078" s="174">
        <f>IF(B1078="Positive",INPUT!AG24,INPUT!AD24)</f>
        <v>2</v>
      </c>
      <c r="D1078" s="191">
        <f>IF(B1078="Positive",IF(INPUT!AG24=0,0,(INPUT!U24-INPUT!AG24*INPUT!AH24)/(INPUT!AG24+1)),IF(INPUT!AD24=0,0,(INPUT!K24-2*INPUT!M24-INPUT!AD24*INPUT!AE24)/(INPUT!AD24+1)))</f>
        <v>558.7770783930888</v>
      </c>
      <c r="E1078" s="174">
        <f>IF(B1078="Positive",D838,F838)</f>
        <v>12</v>
      </c>
      <c r="F1078" s="174">
        <f>IF(B1078="Positive",C838,E838)</f>
        <v>1936.3312351792665</v>
      </c>
      <c r="G1078" s="191">
        <f>IF(D1078=0,F1078,D1078)/E1078</f>
        <v>46.5647565327574</v>
      </c>
      <c r="H1078" s="174">
        <f>IF(B1078="Positive",1/3*INPUT!AH24*INPUT!AI24^3,1/3*INPUT!AE24*INPUT!AF24^3)</f>
        <v>13653333.333333332</v>
      </c>
      <c r="I1078" s="192">
        <f>IF(D1078=0,4,MIN(MAX((IF(C1078=1,8,0.894)*H1078/D1078/E1078^3)^(1/3),1),4))</f>
        <v>2.3295102753141137</v>
      </c>
      <c r="J1078" s="192">
        <f>IF(D1078=0,5.34,MIN((5.34+2.84*(H1078/D1078/E1078^3)^(1/3))/((C1078+1)^2),5.34))</f>
        <v>1.3563979013960836</v>
      </c>
      <c r="K1078" s="191">
        <f>0.57*SQRT(INPUT!$B$2*I1078/INPUT!AO24/L918)</f>
        <v>0</v>
      </c>
      <c r="L1078" s="191">
        <f>0.95*SQRT(INPUT!$B$2*I1078/(L918-0.3)/INPUT!AO24)</f>
        <v>0</v>
      </c>
      <c r="M1078" s="184">
        <f>IF(G1078&lt;=K1078,1*L998*INPUT!AO24*L918,IF(G1078&lt;=L1078,1*L998*INPUT!AO24*(L918-(L918-(L918-0.3)/L998)*(G1078-K1078)/(L1078-K1078)),0.9*INPUT!$B$2*1*I1078/G1078^2))</f>
        <v>0</v>
      </c>
      <c r="N1078" s="286">
        <f>IF(G1078&lt;=1.12*SQRT(INPUT!$B$2*J1078/INPUT!AO24),0.58*INPUT!AO24,IF(G1078&lt;=1.4*SQRT(INPUT!$B$2*J1078/INPUT!AO24),0.65*SQRT(INPUT!AO24*INPUT!$B$2*J1078)/G1078,0.9*INPUT!$B$2*J1078/G1078^2))</f>
        <v>0</v>
      </c>
    </row>
    <row r="1079">
      <c r="A1079" s="187">
        <f>A999</f>
        <v>101</v>
      </c>
      <c r="B1079" s="174" t="str">
        <f>B496</f>
        <v>Negative</v>
      </c>
      <c r="C1079" s="174">
        <f>IF(B1079="Positive",INPUT!AG25,INPUT!AD25)</f>
        <v>2</v>
      </c>
      <c r="D1079" s="191">
        <f>IF(B1079="Positive",IF(INPUT!AG25=0,0,(INPUT!U25-INPUT!AG25*INPUT!AH25)/(INPUT!AG25+1)),IF(INPUT!AD25=0,0,(INPUT!K25-2*INPUT!M25-INPUT!AD25*INPUT!AE25)/(INPUT!AD25+1)))</f>
        <v>558.7770783930888</v>
      </c>
      <c r="E1079" s="174">
        <f>IF(B1079="Positive",D839,F839)</f>
        <v>12</v>
      </c>
      <c r="F1079" s="174">
        <f>IF(B1079="Positive",C839,E839)</f>
        <v>1936.3312351792665</v>
      </c>
      <c r="G1079" s="191">
        <f>IF(D1079=0,F1079,D1079)/E1079</f>
        <v>46.5647565327574</v>
      </c>
      <c r="H1079" s="174">
        <f>IF(B1079="Positive",1/3*INPUT!AH25*INPUT!AI25^3,1/3*INPUT!AE25*INPUT!AF25^3)</f>
        <v>13653333.333333332</v>
      </c>
      <c r="I1079" s="192">
        <f>IF(D1079=0,4,MIN(MAX((IF(C1079=1,8,0.894)*H1079/D1079/E1079^3)^(1/3),1),4))</f>
        <v>2.3295102753141137</v>
      </c>
      <c r="J1079" s="192">
        <f>IF(D1079=0,5.34,MIN((5.34+2.84*(H1079/D1079/E1079^3)^(1/3))/((C1079+1)^2),5.34))</f>
        <v>1.3563979013960836</v>
      </c>
      <c r="K1079" s="191">
        <f>0.57*SQRT(INPUT!$B$2*I1079/INPUT!AO25/L919)</f>
        <v>0</v>
      </c>
      <c r="L1079" s="191">
        <f>0.95*SQRT(INPUT!$B$2*I1079/(L919-0.3)/INPUT!AO25)</f>
        <v>0</v>
      </c>
      <c r="M1079" s="184">
        <f>IF(G1079&lt;=K1079,1*L999*INPUT!AO25*L919,IF(G1079&lt;=L1079,1*L999*INPUT!AO25*(L919-(L919-(L919-0.3)/L999)*(G1079-K1079)/(L1079-K1079)),0.9*INPUT!$B$2*1*I1079/G1079^2))</f>
        <v>0</v>
      </c>
      <c r="N1079" s="286">
        <f>IF(G1079&lt;=1.12*SQRT(INPUT!$B$2*J1079/INPUT!AO25),0.58*INPUT!AO25,IF(G1079&lt;=1.4*SQRT(INPUT!$B$2*J1079/INPUT!AO25),0.65*SQRT(INPUT!AO25*INPUT!$B$2*J1079)/G1079,0.9*INPUT!$B$2*J1079/G1079^2))</f>
        <v>0</v>
      </c>
    </row>
    <row r="1080">
      <c r="A1080" s="187">
        <f>A1000</f>
        <v>101</v>
      </c>
      <c r="B1080" s="174" t="str">
        <f>B497</f>
        <v>Negative</v>
      </c>
      <c r="C1080" s="174">
        <f>IF(B1080="Positive",INPUT!AG26,INPUT!AD26)</f>
        <v>2</v>
      </c>
      <c r="D1080" s="191">
        <f>IF(B1080="Positive",IF(INPUT!AG26=0,0,(INPUT!U26-INPUT!AG26*INPUT!AH26)/(INPUT!AG26+1)),IF(INPUT!AD26=0,0,(INPUT!K26-2*INPUT!M26-INPUT!AD26*INPUT!AE26)/(INPUT!AD26+1)))</f>
        <v>558.7770783930888</v>
      </c>
      <c r="E1080" s="174">
        <f>IF(B1080="Positive",D840,F840)</f>
        <v>12</v>
      </c>
      <c r="F1080" s="174">
        <f>IF(B1080="Positive",C840,E840)</f>
        <v>1936.3312351792665</v>
      </c>
      <c r="G1080" s="191">
        <f>IF(D1080=0,F1080,D1080)/E1080</f>
        <v>46.5647565327574</v>
      </c>
      <c r="H1080" s="174">
        <f>IF(B1080="Positive",1/3*INPUT!AH26*INPUT!AI26^3,1/3*INPUT!AE26*INPUT!AF26^3)</f>
        <v>13653333.333333332</v>
      </c>
      <c r="I1080" s="192">
        <f>IF(D1080=0,4,MIN(MAX((IF(C1080=1,8,0.894)*H1080/D1080/E1080^3)^(1/3),1),4))</f>
        <v>2.3295102753141137</v>
      </c>
      <c r="J1080" s="192">
        <f>IF(D1080=0,5.34,MIN((5.34+2.84*(H1080/D1080/E1080^3)^(1/3))/((C1080+1)^2),5.34))</f>
        <v>1.3563979013960836</v>
      </c>
      <c r="K1080" s="191">
        <f>0.57*SQRT(INPUT!$B$2*I1080/INPUT!AO26/L920)</f>
        <v>0</v>
      </c>
      <c r="L1080" s="191">
        <f>0.95*SQRT(INPUT!$B$2*I1080/(L920-0.3)/INPUT!AO26)</f>
        <v>0</v>
      </c>
      <c r="M1080" s="184">
        <f>IF(G1080&lt;=K1080,1*L1000*INPUT!AO26*L920,IF(G1080&lt;=L1080,1*L1000*INPUT!AO26*(L920-(L920-(L920-0.3)/L1000)*(G1080-K1080)/(L1080-K1080)),0.9*INPUT!$B$2*1*I1080/G1080^2))</f>
        <v>0</v>
      </c>
      <c r="N1080" s="286">
        <f>IF(G1080&lt;=1.12*SQRT(INPUT!$B$2*J1080/INPUT!AO26),0.58*INPUT!AO26,IF(G1080&lt;=1.4*SQRT(INPUT!$B$2*J1080/INPUT!AO26),0.65*SQRT(INPUT!AO26*INPUT!$B$2*J1080)/G1080,0.9*INPUT!$B$2*J1080/G1080^2))</f>
        <v>0</v>
      </c>
    </row>
    <row r="1081">
      <c r="A1081" s="187">
        <f>A1001</f>
        <v>101</v>
      </c>
      <c r="B1081" s="174" t="str">
        <f>B498</f>
        <v>Negative</v>
      </c>
      <c r="C1081" s="174">
        <f>IF(B1081="Positive",INPUT!AG27,INPUT!AD27)</f>
        <v>2</v>
      </c>
      <c r="D1081" s="191">
        <f>IF(B1081="Positive",IF(INPUT!AG27=0,0,(INPUT!U27-INPUT!AG27*INPUT!AH27)/(INPUT!AG27+1)),IF(INPUT!AD27=0,0,(INPUT!K27-2*INPUT!M27-INPUT!AD27*INPUT!AE27)/(INPUT!AD27+1)))</f>
        <v>558.7770783930888</v>
      </c>
      <c r="E1081" s="174">
        <f>IF(B1081="Positive",D841,F841)</f>
        <v>12</v>
      </c>
      <c r="F1081" s="174">
        <f>IF(B1081="Positive",C841,E841)</f>
        <v>1936.3312351792665</v>
      </c>
      <c r="G1081" s="191">
        <f>IF(D1081=0,F1081,D1081)/E1081</f>
        <v>46.5647565327574</v>
      </c>
      <c r="H1081" s="174">
        <f>IF(B1081="Positive",1/3*INPUT!AH27*INPUT!AI27^3,1/3*INPUT!AE27*INPUT!AF27^3)</f>
        <v>13653333.333333332</v>
      </c>
      <c r="I1081" s="192">
        <f>IF(D1081=0,4,MIN(MAX((IF(C1081=1,8,0.894)*H1081/D1081/E1081^3)^(1/3),1),4))</f>
        <v>2.3295102753141137</v>
      </c>
      <c r="J1081" s="192">
        <f>IF(D1081=0,5.34,MIN((5.34+2.84*(H1081/D1081/E1081^3)^(1/3))/((C1081+1)^2),5.34))</f>
        <v>1.3563979013960836</v>
      </c>
      <c r="K1081" s="191">
        <f>0.57*SQRT(INPUT!$B$2*I1081/INPUT!AO27/L921)</f>
        <v>0</v>
      </c>
      <c r="L1081" s="191">
        <f>0.95*SQRT(INPUT!$B$2*I1081/(L921-0.3)/INPUT!AO27)</f>
        <v>0</v>
      </c>
      <c r="M1081" s="184">
        <f>IF(G1081&lt;=K1081,1*L1001*INPUT!AO27*L921,IF(G1081&lt;=L1081,1*L1001*INPUT!AO27*(L921-(L921-(L921-0.3)/L1001)*(G1081-K1081)/(L1081-K1081)),0.9*INPUT!$B$2*1*I1081/G1081^2))</f>
        <v>0</v>
      </c>
      <c r="N1081" s="286">
        <f>IF(G1081&lt;=1.12*SQRT(INPUT!$B$2*J1081/INPUT!AO27),0.58*INPUT!AO27,IF(G1081&lt;=1.4*SQRT(INPUT!$B$2*J1081/INPUT!AO27),0.65*SQRT(INPUT!AO27*INPUT!$B$2*J1081)/G1081,0.9*INPUT!$B$2*J1081/G1081^2))</f>
        <v>0</v>
      </c>
    </row>
    <row r="1082">
      <c r="A1082" s="187">
        <f>A1002</f>
        <v>101</v>
      </c>
      <c r="B1082" s="174" t="str">
        <f>B499</f>
        <v>Negative</v>
      </c>
      <c r="C1082" s="174">
        <f>IF(B1082="Positive",INPUT!AG28,INPUT!AD28)</f>
        <v>2</v>
      </c>
      <c r="D1082" s="191">
        <f>IF(B1082="Positive",IF(INPUT!AG28=0,0,(INPUT!U28-INPUT!AG28*INPUT!AH28)/(INPUT!AG28+1)),IF(INPUT!AD28=0,0,(INPUT!K28-2*INPUT!M28-INPUT!AD28*INPUT!AE28)/(INPUT!AD28+1)))</f>
        <v>558.7770783930888</v>
      </c>
      <c r="E1082" s="174">
        <f>IF(B1082="Positive",D842,F842)</f>
        <v>12</v>
      </c>
      <c r="F1082" s="174">
        <f>IF(B1082="Positive",C842,E842)</f>
        <v>1936.3312351792665</v>
      </c>
      <c r="G1082" s="191">
        <f>IF(D1082=0,F1082,D1082)/E1082</f>
        <v>46.5647565327574</v>
      </c>
      <c r="H1082" s="174">
        <f>IF(B1082="Positive",1/3*INPUT!AH28*INPUT!AI28^3,1/3*INPUT!AE28*INPUT!AF28^3)</f>
        <v>13653333.333333332</v>
      </c>
      <c r="I1082" s="192">
        <f>IF(D1082=0,4,MIN(MAX((IF(C1082=1,8,0.894)*H1082/D1082/E1082^3)^(1/3),1),4))</f>
        <v>2.3295102753141137</v>
      </c>
      <c r="J1082" s="192">
        <f>IF(D1082=0,5.34,MIN((5.34+2.84*(H1082/D1082/E1082^3)^(1/3))/((C1082+1)^2),5.34))</f>
        <v>1.3563979013960836</v>
      </c>
      <c r="K1082" s="191">
        <f>0.57*SQRT(INPUT!$B$2*I1082/INPUT!AO28/L922)</f>
        <v>0</v>
      </c>
      <c r="L1082" s="191">
        <f>0.95*SQRT(INPUT!$B$2*I1082/(L922-0.3)/INPUT!AO28)</f>
        <v>0</v>
      </c>
      <c r="M1082" s="184">
        <f>IF(G1082&lt;=K1082,1*L1002*INPUT!AO28*L922,IF(G1082&lt;=L1082,1*L1002*INPUT!AO28*(L922-(L922-(L922-0.3)/L1002)*(G1082-K1082)/(L1082-K1082)),0.9*INPUT!$B$2*1*I1082/G1082^2))</f>
        <v>0</v>
      </c>
      <c r="N1082" s="286">
        <f>IF(G1082&lt;=1.12*SQRT(INPUT!$B$2*J1082/INPUT!AO28),0.58*INPUT!AO28,IF(G1082&lt;=1.4*SQRT(INPUT!$B$2*J1082/INPUT!AO28),0.65*SQRT(INPUT!AO28*INPUT!$B$2*J1082)/G1082,0.9*INPUT!$B$2*J1082/G1082^2))</f>
        <v>0</v>
      </c>
    </row>
    <row r="1083">
      <c r="A1083" s="187">
        <f>A1003</f>
        <v>101</v>
      </c>
      <c r="B1083" s="174" t="str">
        <f>B500</f>
        <v>Negative</v>
      </c>
      <c r="C1083" s="174">
        <f>IF(B1083="Positive",INPUT!AG29,INPUT!AD29)</f>
        <v>2</v>
      </c>
      <c r="D1083" s="191">
        <f>IF(B1083="Positive",IF(INPUT!AG29=0,0,(INPUT!U29-INPUT!AG29*INPUT!AH29)/(INPUT!AG29+1)),IF(INPUT!AD29=0,0,(INPUT!K29-2*INPUT!M29-INPUT!AD29*INPUT!AE29)/(INPUT!AD29+1)))</f>
        <v>558.7770783930888</v>
      </c>
      <c r="E1083" s="174">
        <f>IF(B1083="Positive",D843,F843)</f>
        <v>12</v>
      </c>
      <c r="F1083" s="174">
        <f>IF(B1083="Positive",C843,E843)</f>
        <v>1936.3312351792665</v>
      </c>
      <c r="G1083" s="191">
        <f>IF(D1083=0,F1083,D1083)/E1083</f>
        <v>46.5647565327574</v>
      </c>
      <c r="H1083" s="174">
        <f>IF(B1083="Positive",1/3*INPUT!AH29*INPUT!AI29^3,1/3*INPUT!AE29*INPUT!AF29^3)</f>
        <v>13653333.333333332</v>
      </c>
      <c r="I1083" s="192">
        <f>IF(D1083=0,4,MIN(MAX((IF(C1083=1,8,0.894)*H1083/D1083/E1083^3)^(1/3),1),4))</f>
        <v>2.3295102753141137</v>
      </c>
      <c r="J1083" s="192">
        <f>IF(D1083=0,5.34,MIN((5.34+2.84*(H1083/D1083/E1083^3)^(1/3))/((C1083+1)^2),5.34))</f>
        <v>1.3563979013960836</v>
      </c>
      <c r="K1083" s="191">
        <f>0.57*SQRT(INPUT!$B$2*I1083/INPUT!AO29/L923)</f>
        <v>0</v>
      </c>
      <c r="L1083" s="191">
        <f>0.95*SQRT(INPUT!$B$2*I1083/(L923-0.3)/INPUT!AO29)</f>
        <v>0</v>
      </c>
      <c r="M1083" s="184">
        <f>IF(G1083&lt;=K1083,1*L1003*INPUT!AO29*L923,IF(G1083&lt;=L1083,1*L1003*INPUT!AO29*(L923-(L923-(L923-0.3)/L1003)*(G1083-K1083)/(L1083-K1083)),0.9*INPUT!$B$2*1*I1083/G1083^2))</f>
        <v>0</v>
      </c>
      <c r="N1083" s="286">
        <f>IF(G1083&lt;=1.12*SQRT(INPUT!$B$2*J1083/INPUT!AO29),0.58*INPUT!AO29,IF(G1083&lt;=1.4*SQRT(INPUT!$B$2*J1083/INPUT!AO29),0.65*SQRT(INPUT!AO29*INPUT!$B$2*J1083)/G1083,0.9*INPUT!$B$2*J1083/G1083^2))</f>
        <v>0</v>
      </c>
    </row>
    <row r="1084">
      <c r="A1084" s="187">
        <f>A1004</f>
        <v>101</v>
      </c>
      <c r="B1084" s="174" t="str">
        <f>B501</f>
        <v>Negative</v>
      </c>
      <c r="C1084" s="174">
        <f>IF(B1084="Positive",INPUT!AG30,INPUT!AD30)</f>
        <v>2</v>
      </c>
      <c r="D1084" s="191">
        <f>IF(B1084="Positive",IF(INPUT!AG30=0,0,(INPUT!U30-INPUT!AG30*INPUT!AH30)/(INPUT!AG30+1)),IF(INPUT!AD30=0,0,(INPUT!K30-2*INPUT!M30-INPUT!AD30*INPUT!AE30)/(INPUT!AD30+1)))</f>
        <v>558.7770783930888</v>
      </c>
      <c r="E1084" s="174">
        <f>IF(B1084="Positive",D844,F844)</f>
        <v>12</v>
      </c>
      <c r="F1084" s="174">
        <f>IF(B1084="Positive",C844,E844)</f>
        <v>1936.3312351792665</v>
      </c>
      <c r="G1084" s="191">
        <f>IF(D1084=0,F1084,D1084)/E1084</f>
        <v>46.5647565327574</v>
      </c>
      <c r="H1084" s="174">
        <f>IF(B1084="Positive",1/3*INPUT!AH30*INPUT!AI30^3,1/3*INPUT!AE30*INPUT!AF30^3)</f>
        <v>13653333.333333332</v>
      </c>
      <c r="I1084" s="192">
        <f>IF(D1084=0,4,MIN(MAX((IF(C1084=1,8,0.894)*H1084/D1084/E1084^3)^(1/3),1),4))</f>
        <v>2.3295102753141137</v>
      </c>
      <c r="J1084" s="192">
        <f>IF(D1084=0,5.34,MIN((5.34+2.84*(H1084/D1084/E1084^3)^(1/3))/((C1084+1)^2),5.34))</f>
        <v>1.3563979013960836</v>
      </c>
      <c r="K1084" s="191">
        <f>0.57*SQRT(INPUT!$B$2*I1084/INPUT!AO30/L924)</f>
        <v>0</v>
      </c>
      <c r="L1084" s="191">
        <f>0.95*SQRT(INPUT!$B$2*I1084/(L924-0.3)/INPUT!AO30)</f>
        <v>0</v>
      </c>
      <c r="M1084" s="184">
        <f>IF(G1084&lt;=K1084,1*L1004*INPUT!AO30*L924,IF(G1084&lt;=L1084,1*L1004*INPUT!AO30*(L924-(L924-(L924-0.3)/L1004)*(G1084-K1084)/(L1084-K1084)),0.9*INPUT!$B$2*1*I1084/G1084^2))</f>
        <v>0</v>
      </c>
      <c r="N1084" s="286">
        <f>IF(G1084&lt;=1.12*SQRT(INPUT!$B$2*J1084/INPUT!AO30),0.58*INPUT!AO30,IF(G1084&lt;=1.4*SQRT(INPUT!$B$2*J1084/INPUT!AO30),0.65*SQRT(INPUT!AO30*INPUT!$B$2*J1084)/G1084,0.9*INPUT!$B$2*J1084/G1084^2))</f>
        <v>0</v>
      </c>
    </row>
    <row r="1085">
      <c r="A1085" s="187">
        <f>A1005</f>
        <v>101</v>
      </c>
      <c r="B1085" s="174" t="str">
        <f>B502</f>
        <v>Negative</v>
      </c>
      <c r="C1085" s="174">
        <f>IF(B1085="Positive",INPUT!AG31,INPUT!AD31)</f>
        <v>2</v>
      </c>
      <c r="D1085" s="191">
        <f>IF(B1085="Positive",IF(INPUT!AG31=0,0,(INPUT!U31-INPUT!AG31*INPUT!AH31)/(INPUT!AG31+1)),IF(INPUT!AD31=0,0,(INPUT!K31-2*INPUT!M31-INPUT!AD31*INPUT!AE31)/(INPUT!AD31+1)))</f>
        <v>558.7770783930888</v>
      </c>
      <c r="E1085" s="174">
        <f>IF(B1085="Positive",D845,F845)</f>
        <v>12</v>
      </c>
      <c r="F1085" s="174">
        <f>IF(B1085="Positive",C845,E845)</f>
        <v>1936.3312351792665</v>
      </c>
      <c r="G1085" s="191">
        <f>IF(D1085=0,F1085,D1085)/E1085</f>
        <v>46.5647565327574</v>
      </c>
      <c r="H1085" s="174">
        <f>IF(B1085="Positive",1/3*INPUT!AH31*INPUT!AI31^3,1/3*INPUT!AE31*INPUT!AF31^3)</f>
        <v>13653333.333333332</v>
      </c>
      <c r="I1085" s="192">
        <f>IF(D1085=0,4,MIN(MAX((IF(C1085=1,8,0.894)*H1085/D1085/E1085^3)^(1/3),1),4))</f>
        <v>2.3295102753141137</v>
      </c>
      <c r="J1085" s="192">
        <f>IF(D1085=0,5.34,MIN((5.34+2.84*(H1085/D1085/E1085^3)^(1/3))/((C1085+1)^2),5.34))</f>
        <v>1.3563979013960836</v>
      </c>
      <c r="K1085" s="191">
        <f>0.57*SQRT(INPUT!$B$2*I1085/INPUT!AO31/L925)</f>
        <v>0</v>
      </c>
      <c r="L1085" s="191">
        <f>0.95*SQRT(INPUT!$B$2*I1085/(L925-0.3)/INPUT!AO31)</f>
        <v>0</v>
      </c>
      <c r="M1085" s="184">
        <f>IF(G1085&lt;=K1085,1*L1005*INPUT!AO31*L925,IF(G1085&lt;=L1085,1*L1005*INPUT!AO31*(L925-(L925-(L925-0.3)/L1005)*(G1085-K1085)/(L1085-K1085)),0.9*INPUT!$B$2*1*I1085/G1085^2))</f>
        <v>0</v>
      </c>
      <c r="N1085" s="286">
        <f>IF(G1085&lt;=1.12*SQRT(INPUT!$B$2*J1085/INPUT!AO31),0.58*INPUT!AO31,IF(G1085&lt;=1.4*SQRT(INPUT!$B$2*J1085/INPUT!AO31),0.65*SQRT(INPUT!AO31*INPUT!$B$2*J1085)/G1085,0.9*INPUT!$B$2*J1085/G1085^2))</f>
        <v>0</v>
      </c>
    </row>
    <row r="1086">
      <c r="A1086" s="187">
        <f>A1006</f>
        <v>101</v>
      </c>
      <c r="B1086" s="174" t="str">
        <f>B503</f>
        <v>Negative</v>
      </c>
      <c r="C1086" s="174">
        <f>IF(B1086="Positive",INPUT!AG32,INPUT!AD32)</f>
        <v>2</v>
      </c>
      <c r="D1086" s="191">
        <f>IF(B1086="Positive",IF(INPUT!AG32=0,0,(INPUT!U32-INPUT!AG32*INPUT!AH32)/(INPUT!AG32+1)),IF(INPUT!AD32=0,0,(INPUT!K32-2*INPUT!M32-INPUT!AD32*INPUT!AE32)/(INPUT!AD32+1)))</f>
        <v>558.7770783930888</v>
      </c>
      <c r="E1086" s="174">
        <f>IF(B1086="Positive",D846,F846)</f>
        <v>12</v>
      </c>
      <c r="F1086" s="174">
        <f>IF(B1086="Positive",C846,E846)</f>
        <v>1936.3312351792665</v>
      </c>
      <c r="G1086" s="191">
        <f>IF(D1086=0,F1086,D1086)/E1086</f>
        <v>46.5647565327574</v>
      </c>
      <c r="H1086" s="174">
        <f>IF(B1086="Positive",1/3*INPUT!AH32*INPUT!AI32^3,1/3*INPUT!AE32*INPUT!AF32^3)</f>
        <v>13653333.333333332</v>
      </c>
      <c r="I1086" s="192">
        <f>IF(D1086=0,4,MIN(MAX((IF(C1086=1,8,0.894)*H1086/D1086/E1086^3)^(1/3),1),4))</f>
        <v>2.3295102753141137</v>
      </c>
      <c r="J1086" s="192">
        <f>IF(D1086=0,5.34,MIN((5.34+2.84*(H1086/D1086/E1086^3)^(1/3))/((C1086+1)^2),5.34))</f>
        <v>1.3563979013960836</v>
      </c>
      <c r="K1086" s="191">
        <f>0.57*SQRT(INPUT!$B$2*I1086/INPUT!AO32/L926)</f>
        <v>0</v>
      </c>
      <c r="L1086" s="191">
        <f>0.95*SQRT(INPUT!$B$2*I1086/(L926-0.3)/INPUT!AO32)</f>
        <v>0</v>
      </c>
      <c r="M1086" s="184">
        <f>IF(G1086&lt;=K1086,1*L1006*INPUT!AO32*L926,IF(G1086&lt;=L1086,1*L1006*INPUT!AO32*(L926-(L926-(L926-0.3)/L1006)*(G1086-K1086)/(L1086-K1086)),0.9*INPUT!$B$2*1*I1086/G1086^2))</f>
        <v>0</v>
      </c>
      <c r="N1086" s="286">
        <f>IF(G1086&lt;=1.12*SQRT(INPUT!$B$2*J1086/INPUT!AO32),0.58*INPUT!AO32,IF(G1086&lt;=1.4*SQRT(INPUT!$B$2*J1086/INPUT!AO32),0.65*SQRT(INPUT!AO32*INPUT!$B$2*J1086)/G1086,0.9*INPUT!$B$2*J1086/G1086^2))</f>
        <v>0</v>
      </c>
    </row>
    <row r="1087">
      <c r="A1087" s="187">
        <f>A1007</f>
        <v>101</v>
      </c>
      <c r="B1087" s="174" t="str">
        <f>B504</f>
        <v>Negative</v>
      </c>
      <c r="C1087" s="174">
        <f>IF(B1087="Positive",INPUT!AG33,INPUT!AD33)</f>
        <v>2</v>
      </c>
      <c r="D1087" s="191">
        <f>IF(B1087="Positive",IF(INPUT!AG33=0,0,(INPUT!U33-INPUT!AG33*INPUT!AH33)/(INPUT!AG33+1)),IF(INPUT!AD33=0,0,(INPUT!K33-2*INPUT!M33-INPUT!AD33*INPUT!AE33)/(INPUT!AD33+1)))</f>
        <v>558.7770783930888</v>
      </c>
      <c r="E1087" s="174">
        <f>IF(B1087="Positive",D847,F847)</f>
        <v>12</v>
      </c>
      <c r="F1087" s="174">
        <f>IF(B1087="Positive",C847,E847)</f>
        <v>1936.3312351792665</v>
      </c>
      <c r="G1087" s="191">
        <f>IF(D1087=0,F1087,D1087)/E1087</f>
        <v>46.5647565327574</v>
      </c>
      <c r="H1087" s="174">
        <f>IF(B1087="Positive",1/3*INPUT!AH33*INPUT!AI33^3,1/3*INPUT!AE33*INPUT!AF33^3)</f>
        <v>13653333.333333332</v>
      </c>
      <c r="I1087" s="192">
        <f>IF(D1087=0,4,MIN(MAX((IF(C1087=1,8,0.894)*H1087/D1087/E1087^3)^(1/3),1),4))</f>
        <v>2.3295102753141137</v>
      </c>
      <c r="J1087" s="192">
        <f>IF(D1087=0,5.34,MIN((5.34+2.84*(H1087/D1087/E1087^3)^(1/3))/((C1087+1)^2),5.34))</f>
        <v>1.3563979013960836</v>
      </c>
      <c r="K1087" s="191">
        <f>0.57*SQRT(INPUT!$B$2*I1087/INPUT!AO33/L927)</f>
        <v>0</v>
      </c>
      <c r="L1087" s="191">
        <f>0.95*SQRT(INPUT!$B$2*I1087/(L927-0.3)/INPUT!AO33)</f>
        <v>0</v>
      </c>
      <c r="M1087" s="184">
        <f>IF(G1087&lt;=K1087,1*L1007*INPUT!AO33*L927,IF(G1087&lt;=L1087,1*L1007*INPUT!AO33*(L927-(L927-(L927-0.3)/L1007)*(G1087-K1087)/(L1087-K1087)),0.9*INPUT!$B$2*1*I1087/G1087^2))</f>
        <v>0</v>
      </c>
      <c r="N1087" s="286">
        <f>IF(G1087&lt;=1.12*SQRT(INPUT!$B$2*J1087/INPUT!AO33),0.58*INPUT!AO33,IF(G1087&lt;=1.4*SQRT(INPUT!$B$2*J1087/INPUT!AO33),0.65*SQRT(INPUT!AO33*INPUT!$B$2*J1087)/G1087,0.9*INPUT!$B$2*J1087/G1087^2))</f>
        <v>0</v>
      </c>
    </row>
    <row r="1088">
      <c r="A1088" s="187">
        <f>A1008</f>
        <v>101</v>
      </c>
      <c r="B1088" s="174" t="str">
        <f>B505</f>
        <v>Negative</v>
      </c>
      <c r="C1088" s="174">
        <f>IF(B1088="Positive",INPUT!AG34,INPUT!AD34)</f>
        <v>2</v>
      </c>
      <c r="D1088" s="191">
        <f>IF(B1088="Positive",IF(INPUT!AG34=0,0,(INPUT!U34-INPUT!AG34*INPUT!AH34)/(INPUT!AG34+1)),IF(INPUT!AD34=0,0,(INPUT!K34-2*INPUT!M34-INPUT!AD34*INPUT!AE34)/(INPUT!AD34+1)))</f>
        <v>558.7770783930888</v>
      </c>
      <c r="E1088" s="174">
        <f>IF(B1088="Positive",D848,F848)</f>
        <v>12</v>
      </c>
      <c r="F1088" s="174">
        <f>IF(B1088="Positive",C848,E848)</f>
        <v>1936.3312351792665</v>
      </c>
      <c r="G1088" s="191">
        <f>IF(D1088=0,F1088,D1088)/E1088</f>
        <v>46.5647565327574</v>
      </c>
      <c r="H1088" s="174">
        <f>IF(B1088="Positive",1/3*INPUT!AH34*INPUT!AI34^3,1/3*INPUT!AE34*INPUT!AF34^3)</f>
        <v>13653333.333333332</v>
      </c>
      <c r="I1088" s="192">
        <f>IF(D1088=0,4,MIN(MAX((IF(C1088=1,8,0.894)*H1088/D1088/E1088^3)^(1/3),1),4))</f>
        <v>2.3295102753141137</v>
      </c>
      <c r="J1088" s="192">
        <f>IF(D1088=0,5.34,MIN((5.34+2.84*(H1088/D1088/E1088^3)^(1/3))/((C1088+1)^2),5.34))</f>
        <v>1.3563979013960836</v>
      </c>
      <c r="K1088" s="191">
        <f>0.57*SQRT(INPUT!$B$2*I1088/INPUT!AO34/L928)</f>
        <v>0</v>
      </c>
      <c r="L1088" s="191">
        <f>0.95*SQRT(INPUT!$B$2*I1088/(L928-0.3)/INPUT!AO34)</f>
        <v>0</v>
      </c>
      <c r="M1088" s="184">
        <f>IF(G1088&lt;=K1088,1*L1008*INPUT!AO34*L928,IF(G1088&lt;=L1088,1*L1008*INPUT!AO34*(L928-(L928-(L928-0.3)/L1008)*(G1088-K1088)/(L1088-K1088)),0.9*INPUT!$B$2*1*I1088/G1088^2))</f>
        <v>0</v>
      </c>
      <c r="N1088" s="286">
        <f>IF(G1088&lt;=1.12*SQRT(INPUT!$B$2*J1088/INPUT!AO34),0.58*INPUT!AO34,IF(G1088&lt;=1.4*SQRT(INPUT!$B$2*J1088/INPUT!AO34),0.65*SQRT(INPUT!AO34*INPUT!$B$2*J1088)/G1088,0.9*INPUT!$B$2*J1088/G1088^2))</f>
        <v>0</v>
      </c>
    </row>
    <row r="1089">
      <c r="A1089" s="187">
        <f>A1009</f>
        <v>101</v>
      </c>
      <c r="B1089" s="174" t="str">
        <f>B506</f>
        <v>Negative</v>
      </c>
      <c r="C1089" s="174">
        <f>IF(B1089="Positive",INPUT!AG35,INPUT!AD35)</f>
        <v>2</v>
      </c>
      <c r="D1089" s="191">
        <f>IF(B1089="Positive",IF(INPUT!AG35=0,0,(INPUT!U35-INPUT!AG35*INPUT!AH35)/(INPUT!AG35+1)),IF(INPUT!AD35=0,0,(INPUT!K35-2*INPUT!M35-INPUT!AD35*INPUT!AE35)/(INPUT!AD35+1)))</f>
        <v>558.7770783930888</v>
      </c>
      <c r="E1089" s="174">
        <f>IF(B1089="Positive",D849,F849)</f>
        <v>12</v>
      </c>
      <c r="F1089" s="174">
        <f>IF(B1089="Positive",C849,E849)</f>
        <v>1936.3312351792665</v>
      </c>
      <c r="G1089" s="191">
        <f>IF(D1089=0,F1089,D1089)/E1089</f>
        <v>46.5647565327574</v>
      </c>
      <c r="H1089" s="174">
        <f>IF(B1089="Positive",1/3*INPUT!AH35*INPUT!AI35^3,1/3*INPUT!AE35*INPUT!AF35^3)</f>
        <v>13653333.333333332</v>
      </c>
      <c r="I1089" s="192">
        <f>IF(D1089=0,4,MIN(MAX((IF(C1089=1,8,0.894)*H1089/D1089/E1089^3)^(1/3),1),4))</f>
        <v>2.3295102753141137</v>
      </c>
      <c r="J1089" s="192">
        <f>IF(D1089=0,5.34,MIN((5.34+2.84*(H1089/D1089/E1089^3)^(1/3))/((C1089+1)^2),5.34))</f>
        <v>1.3563979013960836</v>
      </c>
      <c r="K1089" s="191">
        <f>0.57*SQRT(INPUT!$B$2*I1089/INPUT!AO35/L929)</f>
        <v>0</v>
      </c>
      <c r="L1089" s="191">
        <f>0.95*SQRT(INPUT!$B$2*I1089/(L929-0.3)/INPUT!AO35)</f>
        <v>0</v>
      </c>
      <c r="M1089" s="184">
        <f>IF(G1089&lt;=K1089,1*L1009*INPUT!AO35*L929,IF(G1089&lt;=L1089,1*L1009*INPUT!AO35*(L929-(L929-(L929-0.3)/L1009)*(G1089-K1089)/(L1089-K1089)),0.9*INPUT!$B$2*1*I1089/G1089^2))</f>
        <v>0</v>
      </c>
      <c r="N1089" s="286">
        <f>IF(G1089&lt;=1.12*SQRT(INPUT!$B$2*J1089/INPUT!AO35),0.58*INPUT!AO35,IF(G1089&lt;=1.4*SQRT(INPUT!$B$2*J1089/INPUT!AO35),0.65*SQRT(INPUT!AO35*INPUT!$B$2*J1089)/G1089,0.9*INPUT!$B$2*J1089/G1089^2))</f>
        <v>0</v>
      </c>
    </row>
    <row r="1090">
      <c r="A1090" s="187">
        <f>A1010</f>
        <v>101</v>
      </c>
      <c r="B1090" s="174" t="str">
        <f>B507</f>
        <v>Negative</v>
      </c>
      <c r="C1090" s="174">
        <f>IF(B1090="Positive",INPUT!AG36,INPUT!AD36)</f>
        <v>2</v>
      </c>
      <c r="D1090" s="191">
        <f>IF(B1090="Positive",IF(INPUT!AG36=0,0,(INPUT!U36-INPUT!AG36*INPUT!AH36)/(INPUT!AG36+1)),IF(INPUT!AD36=0,0,(INPUT!K36-2*INPUT!M36-INPUT!AD36*INPUT!AE36)/(INPUT!AD36+1)))</f>
        <v>558.7770783930888</v>
      </c>
      <c r="E1090" s="174">
        <f>IF(B1090="Positive",D850,F850)</f>
        <v>12</v>
      </c>
      <c r="F1090" s="174">
        <f>IF(B1090="Positive",C850,E850)</f>
        <v>1936.3312351792665</v>
      </c>
      <c r="G1090" s="191">
        <f>IF(D1090=0,F1090,D1090)/E1090</f>
        <v>46.5647565327574</v>
      </c>
      <c r="H1090" s="174">
        <f>IF(B1090="Positive",1/3*INPUT!AH36*INPUT!AI36^3,1/3*INPUT!AE36*INPUT!AF36^3)</f>
        <v>13653333.333333332</v>
      </c>
      <c r="I1090" s="192">
        <f>IF(D1090=0,4,MIN(MAX((IF(C1090=1,8,0.894)*H1090/D1090/E1090^3)^(1/3),1),4))</f>
        <v>2.3295102753141137</v>
      </c>
      <c r="J1090" s="192">
        <f>IF(D1090=0,5.34,MIN((5.34+2.84*(H1090/D1090/E1090^3)^(1/3))/((C1090+1)^2),5.34))</f>
        <v>1.3563979013960836</v>
      </c>
      <c r="K1090" s="191">
        <f>0.57*SQRT(INPUT!$B$2*I1090/INPUT!AO36/L930)</f>
        <v>0</v>
      </c>
      <c r="L1090" s="191">
        <f>0.95*SQRT(INPUT!$B$2*I1090/(L930-0.3)/INPUT!AO36)</f>
        <v>0</v>
      </c>
      <c r="M1090" s="184">
        <f>IF(G1090&lt;=K1090,1*L1010*INPUT!AO36*L930,IF(G1090&lt;=L1090,1*L1010*INPUT!AO36*(L930-(L930-(L930-0.3)/L1010)*(G1090-K1090)/(L1090-K1090)),0.9*INPUT!$B$2*1*I1090/G1090^2))</f>
        <v>0</v>
      </c>
      <c r="N1090" s="286">
        <f>IF(G1090&lt;=1.12*SQRT(INPUT!$B$2*J1090/INPUT!AO36),0.58*INPUT!AO36,IF(G1090&lt;=1.4*SQRT(INPUT!$B$2*J1090/INPUT!AO36),0.65*SQRT(INPUT!AO36*INPUT!$B$2*J1090)/G1090,0.9*INPUT!$B$2*J1090/G1090^2))</f>
        <v>0</v>
      </c>
    </row>
    <row r="1091">
      <c r="A1091" s="187">
        <f>A1011</f>
        <v>101</v>
      </c>
      <c r="B1091" s="174" t="str">
        <f>B508</f>
        <v>Negative</v>
      </c>
      <c r="C1091" s="174">
        <f>IF(B1091="Positive",INPUT!AG37,INPUT!AD37)</f>
        <v>2</v>
      </c>
      <c r="D1091" s="191">
        <f>IF(B1091="Positive",IF(INPUT!AG37=0,0,(INPUT!U37-INPUT!AG37*INPUT!AH37)/(INPUT!AG37+1)),IF(INPUT!AD37=0,0,(INPUT!K37-2*INPUT!M37-INPUT!AD37*INPUT!AE37)/(INPUT!AD37+1)))</f>
        <v>558.7770783930888</v>
      </c>
      <c r="E1091" s="174">
        <f>IF(B1091="Positive",D851,F851)</f>
        <v>12</v>
      </c>
      <c r="F1091" s="174">
        <f>IF(B1091="Positive",C851,E851)</f>
        <v>1936.3312351792665</v>
      </c>
      <c r="G1091" s="191">
        <f>IF(D1091=0,F1091,D1091)/E1091</f>
        <v>46.5647565327574</v>
      </c>
      <c r="H1091" s="174">
        <f>IF(B1091="Positive",1/3*INPUT!AH37*INPUT!AI37^3,1/3*INPUT!AE37*INPUT!AF37^3)</f>
        <v>13653333.333333332</v>
      </c>
      <c r="I1091" s="192">
        <f>IF(D1091=0,4,MIN(MAX((IF(C1091=1,8,0.894)*H1091/D1091/E1091^3)^(1/3),1),4))</f>
        <v>2.3295102753141137</v>
      </c>
      <c r="J1091" s="192">
        <f>IF(D1091=0,5.34,MIN((5.34+2.84*(H1091/D1091/E1091^3)^(1/3))/((C1091+1)^2),5.34))</f>
        <v>1.3563979013960836</v>
      </c>
      <c r="K1091" s="191">
        <f>0.57*SQRT(INPUT!$B$2*I1091/INPUT!AO37/L931)</f>
        <v>0</v>
      </c>
      <c r="L1091" s="191">
        <f>0.95*SQRT(INPUT!$B$2*I1091/(L931-0.3)/INPUT!AO37)</f>
        <v>0</v>
      </c>
      <c r="M1091" s="184">
        <f>IF(G1091&lt;=K1091,1*L1011*INPUT!AO37*L931,IF(G1091&lt;=L1091,1*L1011*INPUT!AO37*(L931-(L931-(L931-0.3)/L1011)*(G1091-K1091)/(L1091-K1091)),0.9*INPUT!$B$2*1*I1091/G1091^2))</f>
        <v>0</v>
      </c>
      <c r="N1091" s="286">
        <f>IF(G1091&lt;=1.12*SQRT(INPUT!$B$2*J1091/INPUT!AO37),0.58*INPUT!AO37,IF(G1091&lt;=1.4*SQRT(INPUT!$B$2*J1091/INPUT!AO37),0.65*SQRT(INPUT!AO37*INPUT!$B$2*J1091)/G1091,0.9*INPUT!$B$2*J1091/G1091^2))</f>
        <v>0</v>
      </c>
    </row>
    <row r="1092">
      <c r="A1092" s="187">
        <f>A1012</f>
        <v>101</v>
      </c>
      <c r="B1092" s="174" t="str">
        <f>B509</f>
        <v>Negative</v>
      </c>
      <c r="C1092" s="174">
        <f>IF(B1092="Positive",INPUT!AG38,INPUT!AD38)</f>
        <v>2</v>
      </c>
      <c r="D1092" s="191">
        <f>IF(B1092="Positive",IF(INPUT!AG38=0,0,(INPUT!U38-INPUT!AG38*INPUT!AH38)/(INPUT!AG38+1)),IF(INPUT!AD38=0,0,(INPUT!K38-2*INPUT!M38-INPUT!AD38*INPUT!AE38)/(INPUT!AD38+1)))</f>
        <v>558.7770783930888</v>
      </c>
      <c r="E1092" s="174">
        <f>IF(B1092="Positive",D852,F852)</f>
        <v>12</v>
      </c>
      <c r="F1092" s="174">
        <f>IF(B1092="Positive",C852,E852)</f>
        <v>1936.3312351792665</v>
      </c>
      <c r="G1092" s="191">
        <f>IF(D1092=0,F1092,D1092)/E1092</f>
        <v>46.5647565327574</v>
      </c>
      <c r="H1092" s="174">
        <f>IF(B1092="Positive",1/3*INPUT!AH38*INPUT!AI38^3,1/3*INPUT!AE38*INPUT!AF38^3)</f>
        <v>13653333.333333332</v>
      </c>
      <c r="I1092" s="192">
        <f>IF(D1092=0,4,MIN(MAX((IF(C1092=1,8,0.894)*H1092/D1092/E1092^3)^(1/3),1),4))</f>
        <v>2.3295102753141137</v>
      </c>
      <c r="J1092" s="192">
        <f>IF(D1092=0,5.34,MIN((5.34+2.84*(H1092/D1092/E1092^3)^(1/3))/((C1092+1)^2),5.34))</f>
        <v>1.3563979013960836</v>
      </c>
      <c r="K1092" s="191">
        <f>0.57*SQRT(INPUT!$B$2*I1092/INPUT!AO38/L932)</f>
        <v>0</v>
      </c>
      <c r="L1092" s="191">
        <f>0.95*SQRT(INPUT!$B$2*I1092/(L932-0.3)/INPUT!AO38)</f>
        <v>0</v>
      </c>
      <c r="M1092" s="184">
        <f>IF(G1092&lt;=K1092,1*L1012*INPUT!AO38*L932,IF(G1092&lt;=L1092,1*L1012*INPUT!AO38*(L932-(L932-(L932-0.3)/L1012)*(G1092-K1092)/(L1092-K1092)),0.9*INPUT!$B$2*1*I1092/G1092^2))</f>
        <v>0</v>
      </c>
      <c r="N1092" s="286">
        <f>IF(G1092&lt;=1.12*SQRT(INPUT!$B$2*J1092/INPUT!AO38),0.58*INPUT!AO38,IF(G1092&lt;=1.4*SQRT(INPUT!$B$2*J1092/INPUT!AO38),0.65*SQRT(INPUT!AO38*INPUT!$B$2*J1092)/G1092,0.9*INPUT!$B$2*J1092/G1092^2))</f>
        <v>0</v>
      </c>
    </row>
    <row r="1093">
      <c r="A1093" s="187">
        <f>A1013</f>
        <v>101</v>
      </c>
      <c r="B1093" s="174" t="str">
        <f>B510</f>
        <v>Negative</v>
      </c>
      <c r="C1093" s="174">
        <f>IF(B1093="Positive",INPUT!AG39,INPUT!AD39)</f>
        <v>2</v>
      </c>
      <c r="D1093" s="191">
        <f>IF(B1093="Positive",IF(INPUT!AG39=0,0,(INPUT!U39-INPUT!AG39*INPUT!AH39)/(INPUT!AG39+1)),IF(INPUT!AD39=0,0,(INPUT!K39-2*INPUT!M39-INPUT!AD39*INPUT!AE39)/(INPUT!AD39+1)))</f>
        <v>558.7770783930888</v>
      </c>
      <c r="E1093" s="174">
        <f>IF(B1093="Positive",D853,F853)</f>
        <v>12</v>
      </c>
      <c r="F1093" s="174">
        <f>IF(B1093="Positive",C853,E853)</f>
        <v>1936.3312351792665</v>
      </c>
      <c r="G1093" s="191">
        <f>IF(D1093=0,F1093,D1093)/E1093</f>
        <v>46.5647565327574</v>
      </c>
      <c r="H1093" s="174">
        <f>IF(B1093="Positive",1/3*INPUT!AH39*INPUT!AI39^3,1/3*INPUT!AE39*INPUT!AF39^3)</f>
        <v>13653333.333333332</v>
      </c>
      <c r="I1093" s="192">
        <f>IF(D1093=0,4,MIN(MAX((IF(C1093=1,8,0.894)*H1093/D1093/E1093^3)^(1/3),1),4))</f>
        <v>2.3295102753141137</v>
      </c>
      <c r="J1093" s="192">
        <f>IF(D1093=0,5.34,MIN((5.34+2.84*(H1093/D1093/E1093^3)^(1/3))/((C1093+1)^2),5.34))</f>
        <v>1.3563979013960836</v>
      </c>
      <c r="K1093" s="191">
        <f>0.57*SQRT(INPUT!$B$2*I1093/INPUT!AO39/L933)</f>
        <v>0</v>
      </c>
      <c r="L1093" s="191">
        <f>0.95*SQRT(INPUT!$B$2*I1093/(L933-0.3)/INPUT!AO39)</f>
        <v>0</v>
      </c>
      <c r="M1093" s="184">
        <f>IF(G1093&lt;=K1093,1*L1013*INPUT!AO39*L933,IF(G1093&lt;=L1093,1*L1013*INPUT!AO39*(L933-(L933-(L933-0.3)/L1013)*(G1093-K1093)/(L1093-K1093)),0.9*INPUT!$B$2*1*I1093/G1093^2))</f>
        <v>0</v>
      </c>
      <c r="N1093" s="286">
        <f>IF(G1093&lt;=1.12*SQRT(INPUT!$B$2*J1093/INPUT!AO39),0.58*INPUT!AO39,IF(G1093&lt;=1.4*SQRT(INPUT!$B$2*J1093/INPUT!AO39),0.65*SQRT(INPUT!AO39*INPUT!$B$2*J1093)/G1093,0.9*INPUT!$B$2*J1093/G1093^2))</f>
        <v>0</v>
      </c>
    </row>
    <row r="1094">
      <c r="A1094" s="187">
        <f>A1014</f>
        <v>101</v>
      </c>
      <c r="B1094" s="174" t="str">
        <f>B511</f>
        <v>Negative</v>
      </c>
      <c r="C1094" s="174">
        <f>IF(B1094="Positive",INPUT!AG40,INPUT!AD40)</f>
        <v>2</v>
      </c>
      <c r="D1094" s="191">
        <f>IF(B1094="Positive",IF(INPUT!AG40=0,0,(INPUT!U40-INPUT!AG40*INPUT!AH40)/(INPUT!AG40+1)),IF(INPUT!AD40=0,0,(INPUT!K40-2*INPUT!M40-INPUT!AD40*INPUT!AE40)/(INPUT!AD40+1)))</f>
        <v>558.7770783930888</v>
      </c>
      <c r="E1094" s="174">
        <f>IF(B1094="Positive",D854,F854)</f>
        <v>12</v>
      </c>
      <c r="F1094" s="174">
        <f>IF(B1094="Positive",C854,E854)</f>
        <v>1936.3312351792665</v>
      </c>
      <c r="G1094" s="191">
        <f>IF(D1094=0,F1094,D1094)/E1094</f>
        <v>46.5647565327574</v>
      </c>
      <c r="H1094" s="174">
        <f>IF(B1094="Positive",1/3*INPUT!AH40*INPUT!AI40^3,1/3*INPUT!AE40*INPUT!AF40^3)</f>
        <v>13653333.333333332</v>
      </c>
      <c r="I1094" s="192">
        <f>IF(D1094=0,4,MIN(MAX((IF(C1094=1,8,0.894)*H1094/D1094/E1094^3)^(1/3),1),4))</f>
        <v>2.3295102753141137</v>
      </c>
      <c r="J1094" s="192">
        <f>IF(D1094=0,5.34,MIN((5.34+2.84*(H1094/D1094/E1094^3)^(1/3))/((C1094+1)^2),5.34))</f>
        <v>1.3563979013960836</v>
      </c>
      <c r="K1094" s="191">
        <f>0.57*SQRT(INPUT!$B$2*I1094/INPUT!AO40/L934)</f>
        <v>0</v>
      </c>
      <c r="L1094" s="191">
        <f>0.95*SQRT(INPUT!$B$2*I1094/(L934-0.3)/INPUT!AO40)</f>
        <v>0</v>
      </c>
      <c r="M1094" s="184">
        <f>IF(G1094&lt;=K1094,1*L1014*INPUT!AO40*L934,IF(G1094&lt;=L1094,1*L1014*INPUT!AO40*(L934-(L934-(L934-0.3)/L1014)*(G1094-K1094)/(L1094-K1094)),0.9*INPUT!$B$2*1*I1094/G1094^2))</f>
        <v>0</v>
      </c>
      <c r="N1094" s="286">
        <f>IF(G1094&lt;=1.12*SQRT(INPUT!$B$2*J1094/INPUT!AO40),0.58*INPUT!AO40,IF(G1094&lt;=1.4*SQRT(INPUT!$B$2*J1094/INPUT!AO40),0.65*SQRT(INPUT!AO40*INPUT!$B$2*J1094)/G1094,0.9*INPUT!$B$2*J1094/G1094^2))</f>
        <v>0</v>
      </c>
    </row>
    <row r="1095">
      <c r="A1095" s="187">
        <f>A1015</f>
        <v>101</v>
      </c>
      <c r="B1095" s="174" t="str">
        <f>B512</f>
        <v>Negative</v>
      </c>
      <c r="C1095" s="174">
        <f>IF(B1095="Positive",INPUT!AG41,INPUT!AD41)</f>
        <v>2</v>
      </c>
      <c r="D1095" s="191">
        <f>IF(B1095="Positive",IF(INPUT!AG41=0,0,(INPUT!U41-INPUT!AG41*INPUT!AH41)/(INPUT!AG41+1)),IF(INPUT!AD41=0,0,(INPUT!K41-2*INPUT!M41-INPUT!AD41*INPUT!AE41)/(INPUT!AD41+1)))</f>
        <v>558.7770783930888</v>
      </c>
      <c r="E1095" s="174">
        <f>IF(B1095="Positive",D855,F855)</f>
        <v>12</v>
      </c>
      <c r="F1095" s="174">
        <f>IF(B1095="Positive",C855,E855)</f>
        <v>1936.3312351792665</v>
      </c>
      <c r="G1095" s="191">
        <f>IF(D1095=0,F1095,D1095)/E1095</f>
        <v>46.5647565327574</v>
      </c>
      <c r="H1095" s="174">
        <f>IF(B1095="Positive",1/3*INPUT!AH41*INPUT!AI41^3,1/3*INPUT!AE41*INPUT!AF41^3)</f>
        <v>13653333.333333332</v>
      </c>
      <c r="I1095" s="192">
        <f>IF(D1095=0,4,MIN(MAX((IF(C1095=1,8,0.894)*H1095/D1095/E1095^3)^(1/3),1),4))</f>
        <v>2.3295102753141137</v>
      </c>
      <c r="J1095" s="192">
        <f>IF(D1095=0,5.34,MIN((5.34+2.84*(H1095/D1095/E1095^3)^(1/3))/((C1095+1)^2),5.34))</f>
        <v>1.3563979013960836</v>
      </c>
      <c r="K1095" s="191">
        <f>0.57*SQRT(INPUT!$B$2*I1095/INPUT!AO41/L935)</f>
        <v>0</v>
      </c>
      <c r="L1095" s="191">
        <f>0.95*SQRT(INPUT!$B$2*I1095/(L935-0.3)/INPUT!AO41)</f>
        <v>0</v>
      </c>
      <c r="M1095" s="184">
        <f>IF(G1095&lt;=K1095,1*L1015*INPUT!AO41*L935,IF(G1095&lt;=L1095,1*L1015*INPUT!AO41*(L935-(L935-(L935-0.3)/L1015)*(G1095-K1095)/(L1095-K1095)),0.9*INPUT!$B$2*1*I1095/G1095^2))</f>
        <v>0</v>
      </c>
      <c r="N1095" s="286">
        <f>IF(G1095&lt;=1.12*SQRT(INPUT!$B$2*J1095/INPUT!AO41),0.58*INPUT!AO41,IF(G1095&lt;=1.4*SQRT(INPUT!$B$2*J1095/INPUT!AO41),0.65*SQRT(INPUT!AO41*INPUT!$B$2*J1095)/G1095,0.9*INPUT!$B$2*J1095/G1095^2))</f>
        <v>0</v>
      </c>
    </row>
    <row r="1096">
      <c r="A1096" s="187">
        <f>A1016</f>
        <v>101</v>
      </c>
      <c r="B1096" s="174" t="str">
        <f>B513</f>
        <v>Negative</v>
      </c>
      <c r="C1096" s="174">
        <f>IF(B1096="Positive",INPUT!AG42,INPUT!AD42)</f>
        <v>2</v>
      </c>
      <c r="D1096" s="191">
        <f>IF(B1096="Positive",IF(INPUT!AG42=0,0,(INPUT!U42-INPUT!AG42*INPUT!AH42)/(INPUT!AG42+1)),IF(INPUT!AD42=0,0,(INPUT!K42-2*INPUT!M42-INPUT!AD42*INPUT!AE42)/(INPUT!AD42+1)))</f>
        <v>558.7770783930888</v>
      </c>
      <c r="E1096" s="174">
        <f>IF(B1096="Positive",D856,F856)</f>
        <v>12</v>
      </c>
      <c r="F1096" s="174">
        <f>IF(B1096="Positive",C856,E856)</f>
        <v>1936.3312351792665</v>
      </c>
      <c r="G1096" s="191">
        <f>IF(D1096=0,F1096,D1096)/E1096</f>
        <v>46.5647565327574</v>
      </c>
      <c r="H1096" s="174">
        <f>IF(B1096="Positive",1/3*INPUT!AH42*INPUT!AI42^3,1/3*INPUT!AE42*INPUT!AF42^3)</f>
        <v>13653333.333333332</v>
      </c>
      <c r="I1096" s="192">
        <f>IF(D1096=0,4,MIN(MAX((IF(C1096=1,8,0.894)*H1096/D1096/E1096^3)^(1/3),1),4))</f>
        <v>2.3295102753141137</v>
      </c>
      <c r="J1096" s="192">
        <f>IF(D1096=0,5.34,MIN((5.34+2.84*(H1096/D1096/E1096^3)^(1/3))/((C1096+1)^2),5.34))</f>
        <v>1.3563979013960836</v>
      </c>
      <c r="K1096" s="191">
        <f>0.57*SQRT(INPUT!$B$2*I1096/INPUT!AO42/L936)</f>
        <v>0</v>
      </c>
      <c r="L1096" s="191">
        <f>0.95*SQRT(INPUT!$B$2*I1096/(L936-0.3)/INPUT!AO42)</f>
        <v>0</v>
      </c>
      <c r="M1096" s="184">
        <f>IF(G1096&lt;=K1096,1*L1016*INPUT!AO42*L936,IF(G1096&lt;=L1096,1*L1016*INPUT!AO42*(L936-(L936-(L936-0.3)/L1016)*(G1096-K1096)/(L1096-K1096)),0.9*INPUT!$B$2*1*I1096/G1096^2))</f>
        <v>0</v>
      </c>
      <c r="N1096" s="286">
        <f>IF(G1096&lt;=1.12*SQRT(INPUT!$B$2*J1096/INPUT!AO42),0.58*INPUT!AO42,IF(G1096&lt;=1.4*SQRT(INPUT!$B$2*J1096/INPUT!AO42),0.65*SQRT(INPUT!AO42*INPUT!$B$2*J1096)/G1096,0.9*INPUT!$B$2*J1096/G1096^2))</f>
        <v>0</v>
      </c>
    </row>
    <row r="1097">
      <c r="A1097" s="187">
        <f>A1017</f>
        <v>101</v>
      </c>
      <c r="B1097" s="174" t="str">
        <f>B514</f>
        <v>Negative</v>
      </c>
      <c r="C1097" s="174">
        <f>IF(B1097="Positive",INPUT!AG43,INPUT!AD43)</f>
        <v>2</v>
      </c>
      <c r="D1097" s="191">
        <f>IF(B1097="Positive",IF(INPUT!AG43=0,0,(INPUT!U43-INPUT!AG43*INPUT!AH43)/(INPUT!AG43+1)),IF(INPUT!AD43=0,0,(INPUT!K43-2*INPUT!M43-INPUT!AD43*INPUT!AE43)/(INPUT!AD43+1)))</f>
        <v>558.7770783930888</v>
      </c>
      <c r="E1097" s="174">
        <f>IF(B1097="Positive",D857,F857)</f>
        <v>12</v>
      </c>
      <c r="F1097" s="174">
        <f>IF(B1097="Positive",C857,E857)</f>
        <v>1936.3312351792665</v>
      </c>
      <c r="G1097" s="191">
        <f>IF(D1097=0,F1097,D1097)/E1097</f>
        <v>46.5647565327574</v>
      </c>
      <c r="H1097" s="174">
        <f>IF(B1097="Positive",1/3*INPUT!AH43*INPUT!AI43^3,1/3*INPUT!AE43*INPUT!AF43^3)</f>
        <v>13653333.333333332</v>
      </c>
      <c r="I1097" s="192">
        <f>IF(D1097=0,4,MIN(MAX((IF(C1097=1,8,0.894)*H1097/D1097/E1097^3)^(1/3),1),4))</f>
        <v>2.3295102753141137</v>
      </c>
      <c r="J1097" s="192">
        <f>IF(D1097=0,5.34,MIN((5.34+2.84*(H1097/D1097/E1097^3)^(1/3))/((C1097+1)^2),5.34))</f>
        <v>1.3563979013960836</v>
      </c>
      <c r="K1097" s="191">
        <f>0.57*SQRT(INPUT!$B$2*I1097/INPUT!AO43/L937)</f>
        <v>0</v>
      </c>
      <c r="L1097" s="191">
        <f>0.95*SQRT(INPUT!$B$2*I1097/(L937-0.3)/INPUT!AO43)</f>
        <v>0</v>
      </c>
      <c r="M1097" s="184">
        <f>IF(G1097&lt;=K1097,1*L1017*INPUT!AO43*L937,IF(G1097&lt;=L1097,1*L1017*INPUT!AO43*(L937-(L937-(L937-0.3)/L1017)*(G1097-K1097)/(L1097-K1097)),0.9*INPUT!$B$2*1*I1097/G1097^2))</f>
        <v>0</v>
      </c>
      <c r="N1097" s="286">
        <f>IF(G1097&lt;=1.12*SQRT(INPUT!$B$2*J1097/INPUT!AO43),0.58*INPUT!AO43,IF(G1097&lt;=1.4*SQRT(INPUT!$B$2*J1097/INPUT!AO43),0.65*SQRT(INPUT!AO43*INPUT!$B$2*J1097)/G1097,0.9*INPUT!$B$2*J1097/G1097^2))</f>
        <v>0</v>
      </c>
    </row>
    <row r="1098">
      <c r="A1098" s="187">
        <f>A1018</f>
        <v>101</v>
      </c>
      <c r="B1098" s="174" t="str">
        <f>B515</f>
        <v>Negative</v>
      </c>
      <c r="C1098" s="174">
        <f>IF(B1098="Positive",INPUT!AG44,INPUT!AD44)</f>
        <v>2</v>
      </c>
      <c r="D1098" s="191">
        <f>IF(B1098="Positive",IF(INPUT!AG44=0,0,(INPUT!U44-INPUT!AG44*INPUT!AH44)/(INPUT!AG44+1)),IF(INPUT!AD44=0,0,(INPUT!K44-2*INPUT!M44-INPUT!AD44*INPUT!AE44)/(INPUT!AD44+1)))</f>
        <v>558.7770783930888</v>
      </c>
      <c r="E1098" s="174">
        <f>IF(B1098="Positive",D858,F858)</f>
        <v>12</v>
      </c>
      <c r="F1098" s="174">
        <f>IF(B1098="Positive",C858,E858)</f>
        <v>1936.3312351792665</v>
      </c>
      <c r="G1098" s="191">
        <f>IF(D1098=0,F1098,D1098)/E1098</f>
        <v>46.5647565327574</v>
      </c>
      <c r="H1098" s="174">
        <f>IF(B1098="Positive",1/3*INPUT!AH44*INPUT!AI44^3,1/3*INPUT!AE44*INPUT!AF44^3)</f>
        <v>13653333.333333332</v>
      </c>
      <c r="I1098" s="192">
        <f>IF(D1098=0,4,MIN(MAX((IF(C1098=1,8,0.894)*H1098/D1098/E1098^3)^(1/3),1),4))</f>
        <v>2.3295102753141137</v>
      </c>
      <c r="J1098" s="192">
        <f>IF(D1098=0,5.34,MIN((5.34+2.84*(H1098/D1098/E1098^3)^(1/3))/((C1098+1)^2),5.34))</f>
        <v>1.3563979013960836</v>
      </c>
      <c r="K1098" s="191">
        <f>0.57*SQRT(INPUT!$B$2*I1098/INPUT!AO44/L938)</f>
        <v>0</v>
      </c>
      <c r="L1098" s="191">
        <f>0.95*SQRT(INPUT!$B$2*I1098/(L938-0.3)/INPUT!AO44)</f>
        <v>0</v>
      </c>
      <c r="M1098" s="184">
        <f>IF(G1098&lt;=K1098,1*L1018*INPUT!AO44*L938,IF(G1098&lt;=L1098,1*L1018*INPUT!AO44*(L938-(L938-(L938-0.3)/L1018)*(G1098-K1098)/(L1098-K1098)),0.9*INPUT!$B$2*1*I1098/G1098^2))</f>
        <v>0</v>
      </c>
      <c r="N1098" s="286">
        <f>IF(G1098&lt;=1.12*SQRT(INPUT!$B$2*J1098/INPUT!AO44),0.58*INPUT!AO44,IF(G1098&lt;=1.4*SQRT(INPUT!$B$2*J1098/INPUT!AO44),0.65*SQRT(INPUT!AO44*INPUT!$B$2*J1098)/G1098,0.9*INPUT!$B$2*J1098/G1098^2))</f>
        <v>0</v>
      </c>
    </row>
    <row r="1099">
      <c r="A1099" s="187">
        <f>A1019</f>
        <v>101</v>
      </c>
      <c r="B1099" s="174" t="str">
        <f>B516</f>
        <v>Negative</v>
      </c>
      <c r="C1099" s="174">
        <f>IF(B1099="Positive",INPUT!AG45,INPUT!AD45)</f>
        <v>2</v>
      </c>
      <c r="D1099" s="191">
        <f>IF(B1099="Positive",IF(INPUT!AG45=0,0,(INPUT!U45-INPUT!AG45*INPUT!AH45)/(INPUT!AG45+1)),IF(INPUT!AD45=0,0,(INPUT!K45-2*INPUT!M45-INPUT!AD45*INPUT!AE45)/(INPUT!AD45+1)))</f>
        <v>558.7770783930888</v>
      </c>
      <c r="E1099" s="174">
        <f>IF(B1099="Positive",D859,F859)</f>
        <v>12</v>
      </c>
      <c r="F1099" s="174">
        <f>IF(B1099="Positive",C859,E859)</f>
        <v>1936.3312351792665</v>
      </c>
      <c r="G1099" s="191">
        <f>IF(D1099=0,F1099,D1099)/E1099</f>
        <v>46.5647565327574</v>
      </c>
      <c r="H1099" s="174">
        <f>IF(B1099="Positive",1/3*INPUT!AH45*INPUT!AI45^3,1/3*INPUT!AE45*INPUT!AF45^3)</f>
        <v>13653333.333333332</v>
      </c>
      <c r="I1099" s="192">
        <f>IF(D1099=0,4,MIN(MAX((IF(C1099=1,8,0.894)*H1099/D1099/E1099^3)^(1/3),1),4))</f>
        <v>2.3295102753141137</v>
      </c>
      <c r="J1099" s="192">
        <f>IF(D1099=0,5.34,MIN((5.34+2.84*(H1099/D1099/E1099^3)^(1/3))/((C1099+1)^2),5.34))</f>
        <v>1.3563979013960836</v>
      </c>
      <c r="K1099" s="191">
        <f>0.57*SQRT(INPUT!$B$2*I1099/INPUT!AO45/L939)</f>
        <v>0</v>
      </c>
      <c r="L1099" s="191">
        <f>0.95*SQRT(INPUT!$B$2*I1099/(L939-0.3)/INPUT!AO45)</f>
        <v>0</v>
      </c>
      <c r="M1099" s="184">
        <f>IF(G1099&lt;=K1099,1*L1019*INPUT!AO45*L939,IF(G1099&lt;=L1099,1*L1019*INPUT!AO45*(L939-(L939-(L939-0.3)/L1019)*(G1099-K1099)/(L1099-K1099)),0.9*INPUT!$B$2*1*I1099/G1099^2))</f>
        <v>0</v>
      </c>
      <c r="N1099" s="286">
        <f>IF(G1099&lt;=1.12*SQRT(INPUT!$B$2*J1099/INPUT!AO45),0.58*INPUT!AO45,IF(G1099&lt;=1.4*SQRT(INPUT!$B$2*J1099/INPUT!AO45),0.65*SQRT(INPUT!AO45*INPUT!$B$2*J1099)/G1099,0.9*INPUT!$B$2*J1099/G1099^2))</f>
        <v>0</v>
      </c>
    </row>
    <row r="1100">
      <c r="A1100" s="187">
        <f>A1020</f>
        <v>101</v>
      </c>
      <c r="B1100" s="174" t="str">
        <f>B517</f>
        <v>Negative</v>
      </c>
      <c r="C1100" s="174">
        <f>IF(B1100="Positive",INPUT!AG46,INPUT!AD46)</f>
        <v>2</v>
      </c>
      <c r="D1100" s="191">
        <f>IF(B1100="Positive",IF(INPUT!AG46=0,0,(INPUT!U46-INPUT!AG46*INPUT!AH46)/(INPUT!AG46+1)),IF(INPUT!AD46=0,0,(INPUT!K46-2*INPUT!M46-INPUT!AD46*INPUT!AE46)/(INPUT!AD46+1)))</f>
        <v>558.7770783930888</v>
      </c>
      <c r="E1100" s="174">
        <f>IF(B1100="Positive",D860,F860)</f>
        <v>12</v>
      </c>
      <c r="F1100" s="174">
        <f>IF(B1100="Positive",C860,E860)</f>
        <v>1936.3312351792665</v>
      </c>
      <c r="G1100" s="191">
        <f>IF(D1100=0,F1100,D1100)/E1100</f>
        <v>46.5647565327574</v>
      </c>
      <c r="H1100" s="174">
        <f>IF(B1100="Positive",1/3*INPUT!AH46*INPUT!AI46^3,1/3*INPUT!AE46*INPUT!AF46^3)</f>
        <v>13653333.333333332</v>
      </c>
      <c r="I1100" s="192">
        <f>IF(D1100=0,4,MIN(MAX((IF(C1100=1,8,0.894)*H1100/D1100/E1100^3)^(1/3),1),4))</f>
        <v>2.3295102753141137</v>
      </c>
      <c r="J1100" s="192">
        <f>IF(D1100=0,5.34,MIN((5.34+2.84*(H1100/D1100/E1100^3)^(1/3))/((C1100+1)^2),5.34))</f>
        <v>1.3563979013960836</v>
      </c>
      <c r="K1100" s="191">
        <f>0.57*SQRT(INPUT!$B$2*I1100/INPUT!AO46/L940)</f>
        <v>0</v>
      </c>
      <c r="L1100" s="191">
        <f>0.95*SQRT(INPUT!$B$2*I1100/(L940-0.3)/INPUT!AO46)</f>
        <v>0</v>
      </c>
      <c r="M1100" s="184">
        <f>IF(G1100&lt;=K1100,1*L1020*INPUT!AO46*L940,IF(G1100&lt;=L1100,1*L1020*INPUT!AO46*(L940-(L940-(L940-0.3)/L1020)*(G1100-K1100)/(L1100-K1100)),0.9*INPUT!$B$2*1*I1100/G1100^2))</f>
        <v>0</v>
      </c>
      <c r="N1100" s="286">
        <f>IF(G1100&lt;=1.12*SQRT(INPUT!$B$2*J1100/INPUT!AO46),0.58*INPUT!AO46,IF(G1100&lt;=1.4*SQRT(INPUT!$B$2*J1100/INPUT!AO46),0.65*SQRT(INPUT!AO46*INPUT!$B$2*J1100)/G1100,0.9*INPUT!$B$2*J1100/G1100^2))</f>
        <v>0</v>
      </c>
    </row>
    <row r="1101">
      <c r="A1101" s="187">
        <f>A1021</f>
        <v>101</v>
      </c>
      <c r="B1101" s="174" t="str">
        <f>B518</f>
        <v>Negative</v>
      </c>
      <c r="C1101" s="174">
        <f>IF(B1101="Positive",INPUT!AG47,INPUT!AD47)</f>
        <v>2</v>
      </c>
      <c r="D1101" s="191">
        <f>IF(B1101="Positive",IF(INPUT!AG47=0,0,(INPUT!U47-INPUT!AG47*INPUT!AH47)/(INPUT!AG47+1)),IF(INPUT!AD47=0,0,(INPUT!K47-2*INPUT!M47-INPUT!AD47*INPUT!AE47)/(INPUT!AD47+1)))</f>
        <v>558.7770783930888</v>
      </c>
      <c r="E1101" s="174">
        <f>IF(B1101="Positive",D861,F861)</f>
        <v>12</v>
      </c>
      <c r="F1101" s="174">
        <f>IF(B1101="Positive",C861,E861)</f>
        <v>1936.3312351792665</v>
      </c>
      <c r="G1101" s="191">
        <f>IF(D1101=0,F1101,D1101)/E1101</f>
        <v>46.5647565327574</v>
      </c>
      <c r="H1101" s="174">
        <f>IF(B1101="Positive",1/3*INPUT!AH47*INPUT!AI47^3,1/3*INPUT!AE47*INPUT!AF47^3)</f>
        <v>13653333.333333332</v>
      </c>
      <c r="I1101" s="192">
        <f>IF(D1101=0,4,MIN(MAX((IF(C1101=1,8,0.894)*H1101/D1101/E1101^3)^(1/3),1),4))</f>
        <v>2.3295102753141137</v>
      </c>
      <c r="J1101" s="192">
        <f>IF(D1101=0,5.34,MIN((5.34+2.84*(H1101/D1101/E1101^3)^(1/3))/((C1101+1)^2),5.34))</f>
        <v>1.3563979013960836</v>
      </c>
      <c r="K1101" s="191">
        <f>0.57*SQRT(INPUT!$B$2*I1101/INPUT!AO47/L941)</f>
        <v>0</v>
      </c>
      <c r="L1101" s="191">
        <f>0.95*SQRT(INPUT!$B$2*I1101/(L941-0.3)/INPUT!AO47)</f>
        <v>0</v>
      </c>
      <c r="M1101" s="184">
        <f>IF(G1101&lt;=K1101,1*L1021*INPUT!AO47*L941,IF(G1101&lt;=L1101,1*L1021*INPUT!AO47*(L941-(L941-(L941-0.3)/L1021)*(G1101-K1101)/(L1101-K1101)),0.9*INPUT!$B$2*1*I1101/G1101^2))</f>
        <v>0</v>
      </c>
      <c r="N1101" s="286">
        <f>IF(G1101&lt;=1.12*SQRT(INPUT!$B$2*J1101/INPUT!AO47),0.58*INPUT!AO47,IF(G1101&lt;=1.4*SQRT(INPUT!$B$2*J1101/INPUT!AO47),0.65*SQRT(INPUT!AO47*INPUT!$B$2*J1101)/G1101,0.9*INPUT!$B$2*J1101/G1101^2))</f>
        <v>0</v>
      </c>
    </row>
    <row r="1102">
      <c r="A1102" s="187">
        <f>A1022</f>
        <v>101</v>
      </c>
      <c r="B1102" s="174" t="str">
        <f>B519</f>
        <v>Negative</v>
      </c>
      <c r="C1102" s="174">
        <f>IF(B1102="Positive",INPUT!AG48,INPUT!AD48)</f>
        <v>2</v>
      </c>
      <c r="D1102" s="191">
        <f>IF(B1102="Positive",IF(INPUT!AG48=0,0,(INPUT!U48-INPUT!AG48*INPUT!AH48)/(INPUT!AG48+1)),IF(INPUT!AD48=0,0,(INPUT!K48-2*INPUT!M48-INPUT!AD48*INPUT!AE48)/(INPUT!AD48+1)))</f>
        <v>558.7770783930888</v>
      </c>
      <c r="E1102" s="174">
        <f>IF(B1102="Positive",D862,F862)</f>
        <v>12</v>
      </c>
      <c r="F1102" s="174">
        <f>IF(B1102="Positive",C862,E862)</f>
        <v>1936.3312351792665</v>
      </c>
      <c r="G1102" s="191">
        <f>IF(D1102=0,F1102,D1102)/E1102</f>
        <v>46.5647565327574</v>
      </c>
      <c r="H1102" s="174">
        <f>IF(B1102="Positive",1/3*INPUT!AH48*INPUT!AI48^3,1/3*INPUT!AE48*INPUT!AF48^3)</f>
        <v>13653333.333333332</v>
      </c>
      <c r="I1102" s="192">
        <f>IF(D1102=0,4,MIN(MAX((IF(C1102=1,8,0.894)*H1102/D1102/E1102^3)^(1/3),1),4))</f>
        <v>2.3295102753141137</v>
      </c>
      <c r="J1102" s="192">
        <f>IF(D1102=0,5.34,MIN((5.34+2.84*(H1102/D1102/E1102^3)^(1/3))/((C1102+1)^2),5.34))</f>
        <v>1.3563979013960836</v>
      </c>
      <c r="K1102" s="191">
        <f>0.57*SQRT(INPUT!$B$2*I1102/INPUT!AO48/L942)</f>
        <v>0</v>
      </c>
      <c r="L1102" s="191">
        <f>0.95*SQRT(INPUT!$B$2*I1102/(L942-0.3)/INPUT!AO48)</f>
        <v>0</v>
      </c>
      <c r="M1102" s="184">
        <f>IF(G1102&lt;=K1102,1*L1022*INPUT!AO48*L942,IF(G1102&lt;=L1102,1*L1022*INPUT!AO48*(L942-(L942-(L942-0.3)/L1022)*(G1102-K1102)/(L1102-K1102)),0.9*INPUT!$B$2*1*I1102/G1102^2))</f>
        <v>0</v>
      </c>
      <c r="N1102" s="286">
        <f>IF(G1102&lt;=1.12*SQRT(INPUT!$B$2*J1102/INPUT!AO48),0.58*INPUT!AO48,IF(G1102&lt;=1.4*SQRT(INPUT!$B$2*J1102/INPUT!AO48),0.65*SQRT(INPUT!AO48*INPUT!$B$2*J1102)/G1102,0.9*INPUT!$B$2*J1102/G1102^2))</f>
        <v>0</v>
      </c>
    </row>
    <row r="1103">
      <c r="A1103" s="187">
        <f>A1023</f>
        <v>101</v>
      </c>
      <c r="B1103" s="174" t="str">
        <f>B520</f>
        <v>Negative</v>
      </c>
      <c r="C1103" s="174">
        <f>IF(B1103="Positive",INPUT!AG49,INPUT!AD49)</f>
        <v>2</v>
      </c>
      <c r="D1103" s="191">
        <f>IF(B1103="Positive",IF(INPUT!AG49=0,0,(INPUT!U49-INPUT!AG49*INPUT!AH49)/(INPUT!AG49+1)),IF(INPUT!AD49=0,0,(INPUT!K49-2*INPUT!M49-INPUT!AD49*INPUT!AE49)/(INPUT!AD49+1)))</f>
        <v>558.7770783930888</v>
      </c>
      <c r="E1103" s="174">
        <f>IF(B1103="Positive",D863,F863)</f>
        <v>12</v>
      </c>
      <c r="F1103" s="174">
        <f>IF(B1103="Positive",C863,E863)</f>
        <v>1936.3312351792665</v>
      </c>
      <c r="G1103" s="191">
        <f>IF(D1103=0,F1103,D1103)/E1103</f>
        <v>46.5647565327574</v>
      </c>
      <c r="H1103" s="174">
        <f>IF(B1103="Positive",1/3*INPUT!AH49*INPUT!AI49^3,1/3*INPUT!AE49*INPUT!AF49^3)</f>
        <v>13653333.333333332</v>
      </c>
      <c r="I1103" s="192">
        <f>IF(D1103=0,4,MIN(MAX((IF(C1103=1,8,0.894)*H1103/D1103/E1103^3)^(1/3),1),4))</f>
        <v>2.3295102753141137</v>
      </c>
      <c r="J1103" s="192">
        <f>IF(D1103=0,5.34,MIN((5.34+2.84*(H1103/D1103/E1103^3)^(1/3))/((C1103+1)^2),5.34))</f>
        <v>1.3563979013960836</v>
      </c>
      <c r="K1103" s="191">
        <f>0.57*SQRT(INPUT!$B$2*I1103/INPUT!AO49/L943)</f>
        <v>0</v>
      </c>
      <c r="L1103" s="191">
        <f>0.95*SQRT(INPUT!$B$2*I1103/(L943-0.3)/INPUT!AO49)</f>
        <v>0</v>
      </c>
      <c r="M1103" s="184">
        <f>IF(G1103&lt;=K1103,1*L1023*INPUT!AO49*L943,IF(G1103&lt;=L1103,1*L1023*INPUT!AO49*(L943-(L943-(L943-0.3)/L1023)*(G1103-K1103)/(L1103-K1103)),0.9*INPUT!$B$2*1*I1103/G1103^2))</f>
        <v>0</v>
      </c>
      <c r="N1103" s="286">
        <f>IF(G1103&lt;=1.12*SQRT(INPUT!$B$2*J1103/INPUT!AO49),0.58*INPUT!AO49,IF(G1103&lt;=1.4*SQRT(INPUT!$B$2*J1103/INPUT!AO49),0.65*SQRT(INPUT!AO49*INPUT!$B$2*J1103)/G1103,0.9*INPUT!$B$2*J1103/G1103^2))</f>
        <v>0</v>
      </c>
    </row>
    <row r="1104">
      <c r="A1104" s="187">
        <f>A1024</f>
        <v>101</v>
      </c>
      <c r="B1104" s="174" t="str">
        <f>B521</f>
        <v>Negative</v>
      </c>
      <c r="C1104" s="174">
        <f>IF(B1104="Positive",INPUT!AG50,INPUT!AD50)</f>
        <v>2</v>
      </c>
      <c r="D1104" s="191">
        <f>IF(B1104="Positive",IF(INPUT!AG50=0,0,(INPUT!U50-INPUT!AG50*INPUT!AH50)/(INPUT!AG50+1)),IF(INPUT!AD50=0,0,(INPUT!K50-2*INPUT!M50-INPUT!AD50*INPUT!AE50)/(INPUT!AD50+1)))</f>
        <v>558.7770783930888</v>
      </c>
      <c r="E1104" s="174">
        <f>IF(B1104="Positive",D864,F864)</f>
        <v>12</v>
      </c>
      <c r="F1104" s="174">
        <f>IF(B1104="Positive",C864,E864)</f>
        <v>1936.3312351792665</v>
      </c>
      <c r="G1104" s="191">
        <f>IF(D1104=0,F1104,D1104)/E1104</f>
        <v>46.5647565327574</v>
      </c>
      <c r="H1104" s="174">
        <f>IF(B1104="Positive",1/3*INPUT!AH50*INPUT!AI50^3,1/3*INPUT!AE50*INPUT!AF50^3)</f>
        <v>13653333.333333332</v>
      </c>
      <c r="I1104" s="192">
        <f>IF(D1104=0,4,MIN(MAX((IF(C1104=1,8,0.894)*H1104/D1104/E1104^3)^(1/3),1),4))</f>
        <v>2.3295102753141137</v>
      </c>
      <c r="J1104" s="192">
        <f>IF(D1104=0,5.34,MIN((5.34+2.84*(H1104/D1104/E1104^3)^(1/3))/((C1104+1)^2),5.34))</f>
        <v>1.3563979013960836</v>
      </c>
      <c r="K1104" s="191">
        <f>0.57*SQRT(INPUT!$B$2*I1104/INPUT!AO50/L944)</f>
        <v>0</v>
      </c>
      <c r="L1104" s="191">
        <f>0.95*SQRT(INPUT!$B$2*I1104/(L944-0.3)/INPUT!AO50)</f>
        <v>0</v>
      </c>
      <c r="M1104" s="184">
        <f>IF(G1104&lt;=K1104,1*L1024*INPUT!AO50*L944,IF(G1104&lt;=L1104,1*L1024*INPUT!AO50*(L944-(L944-(L944-0.3)/L1024)*(G1104-K1104)/(L1104-K1104)),0.9*INPUT!$B$2*1*I1104/G1104^2))</f>
        <v>0</v>
      </c>
      <c r="N1104" s="286">
        <f>IF(G1104&lt;=1.12*SQRT(INPUT!$B$2*J1104/INPUT!AO50),0.58*INPUT!AO50,IF(G1104&lt;=1.4*SQRT(INPUT!$B$2*J1104/INPUT!AO50),0.65*SQRT(INPUT!AO50*INPUT!$B$2*J1104)/G1104,0.9*INPUT!$B$2*J1104/G1104^2))</f>
        <v>0</v>
      </c>
    </row>
    <row r="1105">
      <c r="A1105" s="187">
        <f>A1025</f>
        <v>101</v>
      </c>
      <c r="B1105" s="174" t="str">
        <f>B522</f>
        <v>Negative</v>
      </c>
      <c r="C1105" s="174">
        <f>IF(B1105="Positive",INPUT!AG51,INPUT!AD51)</f>
        <v>2</v>
      </c>
      <c r="D1105" s="191">
        <f>IF(B1105="Positive",IF(INPUT!AG51=0,0,(INPUT!U51-INPUT!AG51*INPUT!AH51)/(INPUT!AG51+1)),IF(INPUT!AD51=0,0,(INPUT!K51-2*INPUT!M51-INPUT!AD51*INPUT!AE51)/(INPUT!AD51+1)))</f>
        <v>558.7770783930888</v>
      </c>
      <c r="E1105" s="174">
        <f>IF(B1105="Positive",D865,F865)</f>
        <v>12</v>
      </c>
      <c r="F1105" s="174">
        <f>IF(B1105="Positive",C865,E865)</f>
        <v>1936.3312351792665</v>
      </c>
      <c r="G1105" s="191">
        <f>IF(D1105=0,F1105,D1105)/E1105</f>
        <v>46.5647565327574</v>
      </c>
      <c r="H1105" s="174">
        <f>IF(B1105="Positive",1/3*INPUT!AH51*INPUT!AI51^3,1/3*INPUT!AE51*INPUT!AF51^3)</f>
        <v>13653333.333333332</v>
      </c>
      <c r="I1105" s="192">
        <f>IF(D1105=0,4,MIN(MAX((IF(C1105=1,8,0.894)*H1105/D1105/E1105^3)^(1/3),1),4))</f>
        <v>2.3295102753141137</v>
      </c>
      <c r="J1105" s="192">
        <f>IF(D1105=0,5.34,MIN((5.34+2.84*(H1105/D1105/E1105^3)^(1/3))/((C1105+1)^2),5.34))</f>
        <v>1.3563979013960836</v>
      </c>
      <c r="K1105" s="191">
        <f>0.57*SQRT(INPUT!$B$2*I1105/INPUT!AO51/L945)</f>
        <v>0</v>
      </c>
      <c r="L1105" s="191">
        <f>0.95*SQRT(INPUT!$B$2*I1105/(L945-0.3)/INPUT!AO51)</f>
        <v>0</v>
      </c>
      <c r="M1105" s="184">
        <f>IF(G1105&lt;=K1105,1*L1025*INPUT!AO51*L945,IF(G1105&lt;=L1105,1*L1025*INPUT!AO51*(L945-(L945-(L945-0.3)/L1025)*(G1105-K1105)/(L1105-K1105)),0.9*INPUT!$B$2*1*I1105/G1105^2))</f>
        <v>0</v>
      </c>
      <c r="N1105" s="286">
        <f>IF(G1105&lt;=1.12*SQRT(INPUT!$B$2*J1105/INPUT!AO51),0.58*INPUT!AO51,IF(G1105&lt;=1.4*SQRT(INPUT!$B$2*J1105/INPUT!AO51),0.65*SQRT(INPUT!AO51*INPUT!$B$2*J1105)/G1105,0.9*INPUT!$B$2*J1105/G1105^2))</f>
        <v>0</v>
      </c>
    </row>
    <row r="1106">
      <c r="A1106" s="187">
        <f>A1026</f>
        <v>101</v>
      </c>
      <c r="B1106" s="174" t="str">
        <f>B523</f>
        <v>Negative</v>
      </c>
      <c r="C1106" s="174">
        <f>IF(B1106="Positive",INPUT!AG52,INPUT!AD52)</f>
        <v>2</v>
      </c>
      <c r="D1106" s="191">
        <f>IF(B1106="Positive",IF(INPUT!AG52=0,0,(INPUT!U52-INPUT!AG52*INPUT!AH52)/(INPUT!AG52+1)),IF(INPUT!AD52=0,0,(INPUT!K52-2*INPUT!M52-INPUT!AD52*INPUT!AE52)/(INPUT!AD52+1)))</f>
        <v>558.7770783930888</v>
      </c>
      <c r="E1106" s="174">
        <f>IF(B1106="Positive",D866,F866)</f>
        <v>12</v>
      </c>
      <c r="F1106" s="174">
        <f>IF(B1106="Positive",C866,E866)</f>
        <v>1936.3312351792665</v>
      </c>
      <c r="G1106" s="191">
        <f>IF(D1106=0,F1106,D1106)/E1106</f>
        <v>46.5647565327574</v>
      </c>
      <c r="H1106" s="174">
        <f>IF(B1106="Positive",1/3*INPUT!AH52*INPUT!AI52^3,1/3*INPUT!AE52*INPUT!AF52^3)</f>
        <v>13653333.333333332</v>
      </c>
      <c r="I1106" s="192">
        <f>IF(D1106=0,4,MIN(MAX((IF(C1106=1,8,0.894)*H1106/D1106/E1106^3)^(1/3),1),4))</f>
        <v>2.3295102753141137</v>
      </c>
      <c r="J1106" s="192">
        <f>IF(D1106=0,5.34,MIN((5.34+2.84*(H1106/D1106/E1106^3)^(1/3))/((C1106+1)^2),5.34))</f>
        <v>1.3563979013960836</v>
      </c>
      <c r="K1106" s="191">
        <f>0.57*SQRT(INPUT!$B$2*I1106/INPUT!AO52/L946)</f>
        <v>0</v>
      </c>
      <c r="L1106" s="191">
        <f>0.95*SQRT(INPUT!$B$2*I1106/(L946-0.3)/INPUT!AO52)</f>
        <v>0</v>
      </c>
      <c r="M1106" s="184">
        <f>IF(G1106&lt;=K1106,1*L1026*INPUT!AO52*L946,IF(G1106&lt;=L1106,1*L1026*INPUT!AO52*(L946-(L946-(L946-0.3)/L1026)*(G1106-K1106)/(L1106-K1106)),0.9*INPUT!$B$2*1*I1106/G1106^2))</f>
        <v>0</v>
      </c>
      <c r="N1106" s="286">
        <f>IF(G1106&lt;=1.12*SQRT(INPUT!$B$2*J1106/INPUT!AO52),0.58*INPUT!AO52,IF(G1106&lt;=1.4*SQRT(INPUT!$B$2*J1106/INPUT!AO52),0.65*SQRT(INPUT!AO52*INPUT!$B$2*J1106)/G1106,0.9*INPUT!$B$2*J1106/G1106^2))</f>
        <v>0</v>
      </c>
    </row>
    <row r="1107">
      <c r="A1107" s="187">
        <f>A1027</f>
        <v>101</v>
      </c>
      <c r="B1107" s="174" t="str">
        <f>B524</f>
        <v>Negative</v>
      </c>
      <c r="C1107" s="174">
        <f>IF(B1107="Positive",INPUT!AG53,INPUT!AD53)</f>
        <v>2</v>
      </c>
      <c r="D1107" s="191">
        <f>IF(B1107="Positive",IF(INPUT!AG53=0,0,(INPUT!U53-INPUT!AG53*INPUT!AH53)/(INPUT!AG53+1)),IF(INPUT!AD53=0,0,(INPUT!K53-2*INPUT!M53-INPUT!AD53*INPUT!AE53)/(INPUT!AD53+1)))</f>
        <v>558.7770783930888</v>
      </c>
      <c r="E1107" s="174">
        <f>IF(B1107="Positive",D867,F867)</f>
        <v>12</v>
      </c>
      <c r="F1107" s="174">
        <f>IF(B1107="Positive",C867,E867)</f>
        <v>1936.3312351792665</v>
      </c>
      <c r="G1107" s="191">
        <f>IF(D1107=0,F1107,D1107)/E1107</f>
        <v>46.5647565327574</v>
      </c>
      <c r="H1107" s="174">
        <f>IF(B1107="Positive",1/3*INPUT!AH53*INPUT!AI53^3,1/3*INPUT!AE53*INPUT!AF53^3)</f>
        <v>13653333.333333332</v>
      </c>
      <c r="I1107" s="192">
        <f>IF(D1107=0,4,MIN(MAX((IF(C1107=1,8,0.894)*H1107/D1107/E1107^3)^(1/3),1),4))</f>
        <v>2.3295102753141137</v>
      </c>
      <c r="J1107" s="192">
        <f>IF(D1107=0,5.34,MIN((5.34+2.84*(H1107/D1107/E1107^3)^(1/3))/((C1107+1)^2),5.34))</f>
        <v>1.3563979013960836</v>
      </c>
      <c r="K1107" s="191">
        <f>0.57*SQRT(INPUT!$B$2*I1107/INPUT!AO53/L947)</f>
        <v>0</v>
      </c>
      <c r="L1107" s="191">
        <f>0.95*SQRT(INPUT!$B$2*I1107/(L947-0.3)/INPUT!AO53)</f>
        <v>0</v>
      </c>
      <c r="M1107" s="184">
        <f>IF(G1107&lt;=K1107,1*L1027*INPUT!AO53*L947,IF(G1107&lt;=L1107,1*L1027*INPUT!AO53*(L947-(L947-(L947-0.3)/L1027)*(G1107-K1107)/(L1107-K1107)),0.9*INPUT!$B$2*1*I1107/G1107^2))</f>
        <v>0</v>
      </c>
      <c r="N1107" s="286">
        <f>IF(G1107&lt;=1.12*SQRT(INPUT!$B$2*J1107/INPUT!AO53),0.58*INPUT!AO53,IF(G1107&lt;=1.4*SQRT(INPUT!$B$2*J1107/INPUT!AO53),0.65*SQRT(INPUT!AO53*INPUT!$B$2*J1107)/G1107,0.9*INPUT!$B$2*J1107/G1107^2))</f>
        <v>0</v>
      </c>
    </row>
    <row r="1108">
      <c r="A1108" s="187">
        <f>A1028</f>
        <v>101</v>
      </c>
      <c r="B1108" s="174" t="str">
        <f>B525</f>
        <v>Negative</v>
      </c>
      <c r="C1108" s="174">
        <f>IF(B1108="Positive",INPUT!AG54,INPUT!AD54)</f>
        <v>2</v>
      </c>
      <c r="D1108" s="191">
        <f>IF(B1108="Positive",IF(INPUT!AG54=0,0,(INPUT!U54-INPUT!AG54*INPUT!AH54)/(INPUT!AG54+1)),IF(INPUT!AD54=0,0,(INPUT!K54-2*INPUT!M54-INPUT!AD54*INPUT!AE54)/(INPUT!AD54+1)))</f>
        <v>558.7770783930888</v>
      </c>
      <c r="E1108" s="174">
        <f>IF(B1108="Positive",D868,F868)</f>
        <v>12</v>
      </c>
      <c r="F1108" s="174">
        <f>IF(B1108="Positive",C868,E868)</f>
        <v>1936.3312351792665</v>
      </c>
      <c r="G1108" s="191">
        <f>IF(D1108=0,F1108,D1108)/E1108</f>
        <v>46.5647565327574</v>
      </c>
      <c r="H1108" s="174">
        <f>IF(B1108="Positive",1/3*INPUT!AH54*INPUT!AI54^3,1/3*INPUT!AE54*INPUT!AF54^3)</f>
        <v>13653333.333333332</v>
      </c>
      <c r="I1108" s="192">
        <f>IF(D1108=0,4,MIN(MAX((IF(C1108=1,8,0.894)*H1108/D1108/E1108^3)^(1/3),1),4))</f>
        <v>2.3295102753141137</v>
      </c>
      <c r="J1108" s="192">
        <f>IF(D1108=0,5.34,MIN((5.34+2.84*(H1108/D1108/E1108^3)^(1/3))/((C1108+1)^2),5.34))</f>
        <v>1.3563979013960836</v>
      </c>
      <c r="K1108" s="191">
        <f>0.57*SQRT(INPUT!$B$2*I1108/INPUT!AO54/L948)</f>
        <v>0</v>
      </c>
      <c r="L1108" s="191">
        <f>0.95*SQRT(INPUT!$B$2*I1108/(L948-0.3)/INPUT!AO54)</f>
        <v>0</v>
      </c>
      <c r="M1108" s="184">
        <f>IF(G1108&lt;=K1108,1*L1028*INPUT!AO54*L948,IF(G1108&lt;=L1108,1*L1028*INPUT!AO54*(L948-(L948-(L948-0.3)/L1028)*(G1108-K1108)/(L1108-K1108)),0.9*INPUT!$B$2*1*I1108/G1108^2))</f>
        <v>0</v>
      </c>
      <c r="N1108" s="286">
        <f>IF(G1108&lt;=1.12*SQRT(INPUT!$B$2*J1108/INPUT!AO54),0.58*INPUT!AO54,IF(G1108&lt;=1.4*SQRT(INPUT!$B$2*J1108/INPUT!AO54),0.65*SQRT(INPUT!AO54*INPUT!$B$2*J1108)/G1108,0.9*INPUT!$B$2*J1108/G1108^2))</f>
        <v>0</v>
      </c>
    </row>
    <row r="1109">
      <c r="A1109" s="187">
        <f>A1029</f>
        <v>101</v>
      </c>
      <c r="B1109" s="174" t="str">
        <f>B526</f>
        <v>Negative</v>
      </c>
      <c r="C1109" s="174">
        <f>IF(B1109="Positive",INPUT!AG55,INPUT!AD55)</f>
        <v>2</v>
      </c>
      <c r="D1109" s="191">
        <f>IF(B1109="Positive",IF(INPUT!AG55=0,0,(INPUT!U55-INPUT!AG55*INPUT!AH55)/(INPUT!AG55+1)),IF(INPUT!AD55=0,0,(INPUT!K55-2*INPUT!M55-INPUT!AD55*INPUT!AE55)/(INPUT!AD55+1)))</f>
        <v>558.7770783930888</v>
      </c>
      <c r="E1109" s="174">
        <f>IF(B1109="Positive",D869,F869)</f>
        <v>12</v>
      </c>
      <c r="F1109" s="174">
        <f>IF(B1109="Positive",C869,E869)</f>
        <v>1936.3312351792665</v>
      </c>
      <c r="G1109" s="191">
        <f>IF(D1109=0,F1109,D1109)/E1109</f>
        <v>46.5647565327574</v>
      </c>
      <c r="H1109" s="174">
        <f>IF(B1109="Positive",1/3*INPUT!AH55*INPUT!AI55^3,1/3*INPUT!AE55*INPUT!AF55^3)</f>
        <v>13653333.333333332</v>
      </c>
      <c r="I1109" s="192">
        <f>IF(D1109=0,4,MIN(MAX((IF(C1109=1,8,0.894)*H1109/D1109/E1109^3)^(1/3),1),4))</f>
        <v>2.3295102753141137</v>
      </c>
      <c r="J1109" s="192">
        <f>IF(D1109=0,5.34,MIN((5.34+2.84*(H1109/D1109/E1109^3)^(1/3))/((C1109+1)^2),5.34))</f>
        <v>1.3563979013960836</v>
      </c>
      <c r="K1109" s="191">
        <f>0.57*SQRT(INPUT!$B$2*I1109/INPUT!AO55/L949)</f>
        <v>0</v>
      </c>
      <c r="L1109" s="191">
        <f>0.95*SQRT(INPUT!$B$2*I1109/(L949-0.3)/INPUT!AO55)</f>
        <v>0</v>
      </c>
      <c r="M1109" s="184">
        <f>IF(G1109&lt;=K1109,1*L1029*INPUT!AO55*L949,IF(G1109&lt;=L1109,1*L1029*INPUT!AO55*(L949-(L949-(L949-0.3)/L1029)*(G1109-K1109)/(L1109-K1109)),0.9*INPUT!$B$2*1*I1109/G1109^2))</f>
        <v>0</v>
      </c>
      <c r="N1109" s="286">
        <f>IF(G1109&lt;=1.12*SQRT(INPUT!$B$2*J1109/INPUT!AO55),0.58*INPUT!AO55,IF(G1109&lt;=1.4*SQRT(INPUT!$B$2*J1109/INPUT!AO55),0.65*SQRT(INPUT!AO55*INPUT!$B$2*J1109)/G1109,0.9*INPUT!$B$2*J1109/G1109^2))</f>
        <v>0</v>
      </c>
    </row>
    <row r="1110">
      <c r="A1110" s="187">
        <f>A1030</f>
        <v>101</v>
      </c>
      <c r="B1110" s="174" t="str">
        <f>B527</f>
        <v>Negative</v>
      </c>
      <c r="C1110" s="174">
        <f>IF(B1110="Positive",INPUT!AG56,INPUT!AD56)</f>
        <v>2</v>
      </c>
      <c r="D1110" s="191">
        <f>IF(B1110="Positive",IF(INPUT!AG56=0,0,(INPUT!U56-INPUT!AG56*INPUT!AH56)/(INPUT!AG56+1)),IF(INPUT!AD56=0,0,(INPUT!K56-2*INPUT!M56-INPUT!AD56*INPUT!AE56)/(INPUT!AD56+1)))</f>
        <v>558.7770783930888</v>
      </c>
      <c r="E1110" s="174">
        <f>IF(B1110="Positive",D870,F870)</f>
        <v>12</v>
      </c>
      <c r="F1110" s="174">
        <f>IF(B1110="Positive",C870,E870)</f>
        <v>1936.3312351792665</v>
      </c>
      <c r="G1110" s="191">
        <f>IF(D1110=0,F1110,D1110)/E1110</f>
        <v>46.5647565327574</v>
      </c>
      <c r="H1110" s="174">
        <f>IF(B1110="Positive",1/3*INPUT!AH56*INPUT!AI56^3,1/3*INPUT!AE56*INPUT!AF56^3)</f>
        <v>13653333.333333332</v>
      </c>
      <c r="I1110" s="192">
        <f>IF(D1110=0,4,MIN(MAX((IF(C1110=1,8,0.894)*H1110/D1110/E1110^3)^(1/3),1),4))</f>
        <v>2.3295102753141137</v>
      </c>
      <c r="J1110" s="192">
        <f>IF(D1110=0,5.34,MIN((5.34+2.84*(H1110/D1110/E1110^3)^(1/3))/((C1110+1)^2),5.34))</f>
        <v>1.3563979013960836</v>
      </c>
      <c r="K1110" s="191">
        <f>0.57*SQRT(INPUT!$B$2*I1110/INPUT!AO56/L950)</f>
        <v>0</v>
      </c>
      <c r="L1110" s="191">
        <f>0.95*SQRT(INPUT!$B$2*I1110/(L950-0.3)/INPUT!AO56)</f>
        <v>0</v>
      </c>
      <c r="M1110" s="184">
        <f>IF(G1110&lt;=K1110,1*L1030*INPUT!AO56*L950,IF(G1110&lt;=L1110,1*L1030*INPUT!AO56*(L950-(L950-(L950-0.3)/L1030)*(G1110-K1110)/(L1110-K1110)),0.9*INPUT!$B$2*1*I1110/G1110^2))</f>
        <v>0</v>
      </c>
      <c r="N1110" s="286">
        <f>IF(G1110&lt;=1.12*SQRT(INPUT!$B$2*J1110/INPUT!AO56),0.58*INPUT!AO56,IF(G1110&lt;=1.4*SQRT(INPUT!$B$2*J1110/INPUT!AO56),0.65*SQRT(INPUT!AO56*INPUT!$B$2*J1110)/G1110,0.9*INPUT!$B$2*J1110/G1110^2))</f>
        <v>0</v>
      </c>
    </row>
    <row r="1111">
      <c r="A1111" s="187">
        <f>A1031</f>
        <v>101</v>
      </c>
      <c r="B1111" s="174" t="str">
        <f>B528</f>
        <v>Negative</v>
      </c>
      <c r="C1111" s="174">
        <f>IF(B1111="Positive",INPUT!AG57,INPUT!AD57)</f>
        <v>2</v>
      </c>
      <c r="D1111" s="191">
        <f>IF(B1111="Positive",IF(INPUT!AG57=0,0,(INPUT!U57-INPUT!AG57*INPUT!AH57)/(INPUT!AG57+1)),IF(INPUT!AD57=0,0,(INPUT!K57-2*INPUT!M57-INPUT!AD57*INPUT!AE57)/(INPUT!AD57+1)))</f>
        <v>558.7770783930888</v>
      </c>
      <c r="E1111" s="174">
        <f>IF(B1111="Positive",D871,F871)</f>
        <v>12</v>
      </c>
      <c r="F1111" s="174">
        <f>IF(B1111="Positive",C871,E871)</f>
        <v>1936.3312351792665</v>
      </c>
      <c r="G1111" s="191">
        <f>IF(D1111=0,F1111,D1111)/E1111</f>
        <v>46.5647565327574</v>
      </c>
      <c r="H1111" s="174">
        <f>IF(B1111="Positive",1/3*INPUT!AH57*INPUT!AI57^3,1/3*INPUT!AE57*INPUT!AF57^3)</f>
        <v>13653333.333333332</v>
      </c>
      <c r="I1111" s="192">
        <f>IF(D1111=0,4,MIN(MAX((IF(C1111=1,8,0.894)*H1111/D1111/E1111^3)^(1/3),1),4))</f>
        <v>2.3295102753141137</v>
      </c>
      <c r="J1111" s="192">
        <f>IF(D1111=0,5.34,MIN((5.34+2.84*(H1111/D1111/E1111^3)^(1/3))/((C1111+1)^2),5.34))</f>
        <v>1.3563979013960836</v>
      </c>
      <c r="K1111" s="191">
        <f>0.57*SQRT(INPUT!$B$2*I1111/INPUT!AO57/L951)</f>
        <v>0</v>
      </c>
      <c r="L1111" s="191">
        <f>0.95*SQRT(INPUT!$B$2*I1111/(L951-0.3)/INPUT!AO57)</f>
        <v>0</v>
      </c>
      <c r="M1111" s="184">
        <f>IF(G1111&lt;=K1111,1*L1031*INPUT!AO57*L951,IF(G1111&lt;=L1111,1*L1031*INPUT!AO57*(L951-(L951-(L951-0.3)/L1031)*(G1111-K1111)/(L1111-K1111)),0.9*INPUT!$B$2*1*I1111/G1111^2))</f>
        <v>0</v>
      </c>
      <c r="N1111" s="286">
        <f>IF(G1111&lt;=1.12*SQRT(INPUT!$B$2*J1111/INPUT!AO57),0.58*INPUT!AO57,IF(G1111&lt;=1.4*SQRT(INPUT!$B$2*J1111/INPUT!AO57),0.65*SQRT(INPUT!AO57*INPUT!$B$2*J1111)/G1111,0.9*INPUT!$B$2*J1111/G1111^2))</f>
        <v>0</v>
      </c>
    </row>
    <row r="1112">
      <c r="A1112" s="187">
        <f>A1032</f>
        <v>101</v>
      </c>
      <c r="B1112" s="174" t="str">
        <f>B529</f>
        <v>Negative</v>
      </c>
      <c r="C1112" s="174">
        <f>IF(B1112="Positive",INPUT!AG58,INPUT!AD58)</f>
        <v>2</v>
      </c>
      <c r="D1112" s="191">
        <f>IF(B1112="Positive",IF(INPUT!AG58=0,0,(INPUT!U58-INPUT!AG58*INPUT!AH58)/(INPUT!AG58+1)),IF(INPUT!AD58=0,0,(INPUT!K58-2*INPUT!M58-INPUT!AD58*INPUT!AE58)/(INPUT!AD58+1)))</f>
        <v>558.7770783930888</v>
      </c>
      <c r="E1112" s="174">
        <f>IF(B1112="Positive",D872,F872)</f>
        <v>12</v>
      </c>
      <c r="F1112" s="174">
        <f>IF(B1112="Positive",C872,E872)</f>
        <v>1936.3312351792665</v>
      </c>
      <c r="G1112" s="191">
        <f>IF(D1112=0,F1112,D1112)/E1112</f>
        <v>46.5647565327574</v>
      </c>
      <c r="H1112" s="174">
        <f>IF(B1112="Positive",1/3*INPUT!AH58*INPUT!AI58^3,1/3*INPUT!AE58*INPUT!AF58^3)</f>
        <v>13653333.333333332</v>
      </c>
      <c r="I1112" s="192">
        <f>IF(D1112=0,4,MIN(MAX((IF(C1112=1,8,0.894)*H1112/D1112/E1112^3)^(1/3),1),4))</f>
        <v>2.3295102753141137</v>
      </c>
      <c r="J1112" s="192">
        <f>IF(D1112=0,5.34,MIN((5.34+2.84*(H1112/D1112/E1112^3)^(1/3))/((C1112+1)^2),5.34))</f>
        <v>1.3563979013960836</v>
      </c>
      <c r="K1112" s="191">
        <f>0.57*SQRT(INPUT!$B$2*I1112/INPUT!AO58/L952)</f>
        <v>0</v>
      </c>
      <c r="L1112" s="191">
        <f>0.95*SQRT(INPUT!$B$2*I1112/(L952-0.3)/INPUT!AO58)</f>
        <v>0</v>
      </c>
      <c r="M1112" s="184">
        <f>IF(G1112&lt;=K1112,1*L1032*INPUT!AO58*L952,IF(G1112&lt;=L1112,1*L1032*INPUT!AO58*(L952-(L952-(L952-0.3)/L1032)*(G1112-K1112)/(L1112-K1112)),0.9*INPUT!$B$2*1*I1112/G1112^2))</f>
        <v>0</v>
      </c>
      <c r="N1112" s="286">
        <f>IF(G1112&lt;=1.12*SQRT(INPUT!$B$2*J1112/INPUT!AO58),0.58*INPUT!AO58,IF(G1112&lt;=1.4*SQRT(INPUT!$B$2*J1112/INPUT!AO58),0.65*SQRT(INPUT!AO58*INPUT!$B$2*J1112)/G1112,0.9*INPUT!$B$2*J1112/G1112^2))</f>
        <v>0</v>
      </c>
    </row>
    <row r="1113">
      <c r="A1113" s="187">
        <f>A1033</f>
        <v>101</v>
      </c>
      <c r="B1113" s="174" t="str">
        <f>B530</f>
        <v>Negative</v>
      </c>
      <c r="C1113" s="174">
        <f>IF(B1113="Positive",INPUT!AG59,INPUT!AD59)</f>
        <v>2</v>
      </c>
      <c r="D1113" s="191">
        <f>IF(B1113="Positive",IF(INPUT!AG59=0,0,(INPUT!U59-INPUT!AG59*INPUT!AH59)/(INPUT!AG59+1)),IF(INPUT!AD59=0,0,(INPUT!K59-2*INPUT!M59-INPUT!AD59*INPUT!AE59)/(INPUT!AD59+1)))</f>
        <v>558.7770783930888</v>
      </c>
      <c r="E1113" s="174">
        <f>IF(B1113="Positive",D873,F873)</f>
        <v>12</v>
      </c>
      <c r="F1113" s="174">
        <f>IF(B1113="Positive",C873,E873)</f>
        <v>1936.3312351792665</v>
      </c>
      <c r="G1113" s="191">
        <f>IF(D1113=0,F1113,D1113)/E1113</f>
        <v>46.5647565327574</v>
      </c>
      <c r="H1113" s="174">
        <f>IF(B1113="Positive",1/3*INPUT!AH59*INPUT!AI59^3,1/3*INPUT!AE59*INPUT!AF59^3)</f>
        <v>13653333.333333332</v>
      </c>
      <c r="I1113" s="192">
        <f>IF(D1113=0,4,MIN(MAX((IF(C1113=1,8,0.894)*H1113/D1113/E1113^3)^(1/3),1),4))</f>
        <v>2.3295102753141137</v>
      </c>
      <c r="J1113" s="192">
        <f>IF(D1113=0,5.34,MIN((5.34+2.84*(H1113/D1113/E1113^3)^(1/3))/((C1113+1)^2),5.34))</f>
        <v>1.3563979013960836</v>
      </c>
      <c r="K1113" s="191">
        <f>0.57*SQRT(INPUT!$B$2*I1113/INPUT!AO59/L953)</f>
        <v>0</v>
      </c>
      <c r="L1113" s="191">
        <f>0.95*SQRT(INPUT!$B$2*I1113/(L953-0.3)/INPUT!AO59)</f>
        <v>0</v>
      </c>
      <c r="M1113" s="184">
        <f>IF(G1113&lt;=K1113,1*L1033*INPUT!AO59*L953,IF(G1113&lt;=L1113,1*L1033*INPUT!AO59*(L953-(L953-(L953-0.3)/L1033)*(G1113-K1113)/(L1113-K1113)),0.9*INPUT!$B$2*1*I1113/G1113^2))</f>
        <v>0</v>
      </c>
      <c r="N1113" s="286">
        <f>IF(G1113&lt;=1.12*SQRT(INPUT!$B$2*J1113/INPUT!AO59),0.58*INPUT!AO59,IF(G1113&lt;=1.4*SQRT(INPUT!$B$2*J1113/INPUT!AO59),0.65*SQRT(INPUT!AO59*INPUT!$B$2*J1113)/G1113,0.9*INPUT!$B$2*J1113/G1113^2))</f>
        <v>0</v>
      </c>
    </row>
    <row r="1114">
      <c r="A1114" s="187">
        <f>A1034</f>
        <v>101</v>
      </c>
      <c r="B1114" s="174" t="str">
        <f>B531</f>
        <v>Negative</v>
      </c>
      <c r="C1114" s="174">
        <f>IF(B1114="Positive",INPUT!AG60,INPUT!AD60)</f>
        <v>2</v>
      </c>
      <c r="D1114" s="191">
        <f>IF(B1114="Positive",IF(INPUT!AG60=0,0,(INPUT!U60-INPUT!AG60*INPUT!AH60)/(INPUT!AG60+1)),IF(INPUT!AD60=0,0,(INPUT!K60-2*INPUT!M60-INPUT!AD60*INPUT!AE60)/(INPUT!AD60+1)))</f>
        <v>558.7770783930888</v>
      </c>
      <c r="E1114" s="174">
        <f>IF(B1114="Positive",D874,F874)</f>
        <v>12</v>
      </c>
      <c r="F1114" s="174">
        <f>IF(B1114="Positive",C874,E874)</f>
        <v>1936.3312351792665</v>
      </c>
      <c r="G1114" s="191">
        <f>IF(D1114=0,F1114,D1114)/E1114</f>
        <v>46.5647565327574</v>
      </c>
      <c r="H1114" s="174">
        <f>IF(B1114="Positive",1/3*INPUT!AH60*INPUT!AI60^3,1/3*INPUT!AE60*INPUT!AF60^3)</f>
        <v>13653333.333333332</v>
      </c>
      <c r="I1114" s="192">
        <f>IF(D1114=0,4,MIN(MAX((IF(C1114=1,8,0.894)*H1114/D1114/E1114^3)^(1/3),1),4))</f>
        <v>2.3295102753141137</v>
      </c>
      <c r="J1114" s="192">
        <f>IF(D1114=0,5.34,MIN((5.34+2.84*(H1114/D1114/E1114^3)^(1/3))/((C1114+1)^2),5.34))</f>
        <v>1.3563979013960836</v>
      </c>
      <c r="K1114" s="191">
        <f>0.57*SQRT(INPUT!$B$2*I1114/INPUT!AO60/L954)</f>
        <v>0</v>
      </c>
      <c r="L1114" s="191">
        <f>0.95*SQRT(INPUT!$B$2*I1114/(L954-0.3)/INPUT!AO60)</f>
        <v>0</v>
      </c>
      <c r="M1114" s="184">
        <f>IF(G1114&lt;=K1114,1*L1034*INPUT!AO60*L954,IF(G1114&lt;=L1114,1*L1034*INPUT!AO60*(L954-(L954-(L954-0.3)/L1034)*(G1114-K1114)/(L1114-K1114)),0.9*INPUT!$B$2*1*I1114/G1114^2))</f>
        <v>0</v>
      </c>
      <c r="N1114" s="286">
        <f>IF(G1114&lt;=1.12*SQRT(INPUT!$B$2*J1114/INPUT!AO60),0.58*INPUT!AO60,IF(G1114&lt;=1.4*SQRT(INPUT!$B$2*J1114/INPUT!AO60),0.65*SQRT(INPUT!AO60*INPUT!$B$2*J1114)/G1114,0.9*INPUT!$B$2*J1114/G1114^2))</f>
        <v>0</v>
      </c>
    </row>
    <row r="1115">
      <c r="A1115" s="187">
        <f>A1035</f>
        <v>101</v>
      </c>
      <c r="B1115" s="174" t="str">
        <f>B532</f>
        <v>Negative</v>
      </c>
      <c r="C1115" s="174">
        <f>IF(B1115="Positive",INPUT!AG61,INPUT!AD61)</f>
        <v>2</v>
      </c>
      <c r="D1115" s="191">
        <f>IF(B1115="Positive",IF(INPUT!AG61=0,0,(INPUT!U61-INPUT!AG61*INPUT!AH61)/(INPUT!AG61+1)),IF(INPUT!AD61=0,0,(INPUT!K61-2*INPUT!M61-INPUT!AD61*INPUT!AE61)/(INPUT!AD61+1)))</f>
        <v>558.7770783930888</v>
      </c>
      <c r="E1115" s="174">
        <f>IF(B1115="Positive",D875,F875)</f>
        <v>12</v>
      </c>
      <c r="F1115" s="174">
        <f>IF(B1115="Positive",C875,E875)</f>
        <v>1936.3312351792665</v>
      </c>
      <c r="G1115" s="191">
        <f>IF(D1115=0,F1115,D1115)/E1115</f>
        <v>46.5647565327574</v>
      </c>
      <c r="H1115" s="174">
        <f>IF(B1115="Positive",1/3*INPUT!AH61*INPUT!AI61^3,1/3*INPUT!AE61*INPUT!AF61^3)</f>
        <v>13653333.333333332</v>
      </c>
      <c r="I1115" s="192">
        <f>IF(D1115=0,4,MIN(MAX((IF(C1115=1,8,0.894)*H1115/D1115/E1115^3)^(1/3),1),4))</f>
        <v>2.3295102753141137</v>
      </c>
      <c r="J1115" s="192">
        <f>IF(D1115=0,5.34,MIN((5.34+2.84*(H1115/D1115/E1115^3)^(1/3))/((C1115+1)^2),5.34))</f>
        <v>1.3563979013960836</v>
      </c>
      <c r="K1115" s="191">
        <f>0.57*SQRT(INPUT!$B$2*I1115/INPUT!AO61/L955)</f>
        <v>0</v>
      </c>
      <c r="L1115" s="191">
        <f>0.95*SQRT(INPUT!$B$2*I1115/(L955-0.3)/INPUT!AO61)</f>
        <v>0</v>
      </c>
      <c r="M1115" s="184">
        <f>IF(G1115&lt;=K1115,1*L1035*INPUT!AO61*L955,IF(G1115&lt;=L1115,1*L1035*INPUT!AO61*(L955-(L955-(L955-0.3)/L1035)*(G1115-K1115)/(L1115-K1115)),0.9*INPUT!$B$2*1*I1115/G1115^2))</f>
        <v>0</v>
      </c>
      <c r="N1115" s="286">
        <f>IF(G1115&lt;=1.12*SQRT(INPUT!$B$2*J1115/INPUT!AO61),0.58*INPUT!AO61,IF(G1115&lt;=1.4*SQRT(INPUT!$B$2*J1115/INPUT!AO61),0.65*SQRT(INPUT!AO61*INPUT!$B$2*J1115)/G1115,0.9*INPUT!$B$2*J1115/G1115^2))</f>
        <v>0</v>
      </c>
    </row>
    <row r="1116">
      <c r="A1116" s="187">
        <f>A1036</f>
        <v>101</v>
      </c>
      <c r="B1116" s="174" t="str">
        <f>B533</f>
        <v>Negative</v>
      </c>
      <c r="C1116" s="174">
        <f>IF(B1116="Positive",INPUT!AG62,INPUT!AD62)</f>
        <v>2</v>
      </c>
      <c r="D1116" s="191">
        <f>IF(B1116="Positive",IF(INPUT!AG62=0,0,(INPUT!U62-INPUT!AG62*INPUT!AH62)/(INPUT!AG62+1)),IF(INPUT!AD62=0,0,(INPUT!K62-2*INPUT!M62-INPUT!AD62*INPUT!AE62)/(INPUT!AD62+1)))</f>
        <v>558.7770783930888</v>
      </c>
      <c r="E1116" s="174">
        <f>IF(B1116="Positive",D876,F876)</f>
        <v>12</v>
      </c>
      <c r="F1116" s="174">
        <f>IF(B1116="Positive",C876,E876)</f>
        <v>1936.3312351792665</v>
      </c>
      <c r="G1116" s="191">
        <f>IF(D1116=0,F1116,D1116)/E1116</f>
        <v>46.5647565327574</v>
      </c>
      <c r="H1116" s="174">
        <f>IF(B1116="Positive",1/3*INPUT!AH62*INPUT!AI62^3,1/3*INPUT!AE62*INPUT!AF62^3)</f>
        <v>13653333.333333332</v>
      </c>
      <c r="I1116" s="192">
        <f>IF(D1116=0,4,MIN(MAX((IF(C1116=1,8,0.894)*H1116/D1116/E1116^3)^(1/3),1),4))</f>
        <v>2.3295102753141137</v>
      </c>
      <c r="J1116" s="192">
        <f>IF(D1116=0,5.34,MIN((5.34+2.84*(H1116/D1116/E1116^3)^(1/3))/((C1116+1)^2),5.34))</f>
        <v>1.3563979013960836</v>
      </c>
      <c r="K1116" s="191">
        <f>0.57*SQRT(INPUT!$B$2*I1116/INPUT!AO62/L956)</f>
        <v>0</v>
      </c>
      <c r="L1116" s="191">
        <f>0.95*SQRT(INPUT!$B$2*I1116/(L956-0.3)/INPUT!AO62)</f>
        <v>0</v>
      </c>
      <c r="M1116" s="184">
        <f>IF(G1116&lt;=K1116,1*L1036*INPUT!AO62*L956,IF(G1116&lt;=L1116,1*L1036*INPUT!AO62*(L956-(L956-(L956-0.3)/L1036)*(G1116-K1116)/(L1116-K1116)),0.9*INPUT!$B$2*1*I1116/G1116^2))</f>
        <v>0</v>
      </c>
      <c r="N1116" s="286">
        <f>IF(G1116&lt;=1.12*SQRT(INPUT!$B$2*J1116/INPUT!AO62),0.58*INPUT!AO62,IF(G1116&lt;=1.4*SQRT(INPUT!$B$2*J1116/INPUT!AO62),0.65*SQRT(INPUT!AO62*INPUT!$B$2*J1116)/G1116,0.9*INPUT!$B$2*J1116/G1116^2))</f>
        <v>0</v>
      </c>
    </row>
    <row r="1117">
      <c r="A1117" s="187">
        <f>A1037</f>
        <v>101</v>
      </c>
      <c r="B1117" s="174" t="str">
        <f>B534</f>
        <v>Negative</v>
      </c>
      <c r="C1117" s="174">
        <f>IF(B1117="Positive",INPUT!AG63,INPUT!AD63)</f>
        <v>2</v>
      </c>
      <c r="D1117" s="191">
        <f>IF(B1117="Positive",IF(INPUT!AG63=0,0,(INPUT!U63-INPUT!AG63*INPUT!AH63)/(INPUT!AG63+1)),IF(INPUT!AD63=0,0,(INPUT!K63-2*INPUT!M63-INPUT!AD63*INPUT!AE63)/(INPUT!AD63+1)))</f>
        <v>558.7770783930888</v>
      </c>
      <c r="E1117" s="174">
        <f>IF(B1117="Positive",D877,F877)</f>
        <v>12</v>
      </c>
      <c r="F1117" s="174">
        <f>IF(B1117="Positive",C877,E877)</f>
        <v>1936.3312351792665</v>
      </c>
      <c r="G1117" s="191">
        <f>IF(D1117=0,F1117,D1117)/E1117</f>
        <v>46.5647565327574</v>
      </c>
      <c r="H1117" s="174">
        <f>IF(B1117="Positive",1/3*INPUT!AH63*INPUT!AI63^3,1/3*INPUT!AE63*INPUT!AF63^3)</f>
        <v>13653333.333333332</v>
      </c>
      <c r="I1117" s="192">
        <f>IF(D1117=0,4,MIN(MAX((IF(C1117=1,8,0.894)*H1117/D1117/E1117^3)^(1/3),1),4))</f>
        <v>2.3295102753141137</v>
      </c>
      <c r="J1117" s="192">
        <f>IF(D1117=0,5.34,MIN((5.34+2.84*(H1117/D1117/E1117^3)^(1/3))/((C1117+1)^2),5.34))</f>
        <v>1.3563979013960836</v>
      </c>
      <c r="K1117" s="191">
        <f>0.57*SQRT(INPUT!$B$2*I1117/INPUT!AO63/L957)</f>
        <v>0</v>
      </c>
      <c r="L1117" s="191">
        <f>0.95*SQRT(INPUT!$B$2*I1117/(L957-0.3)/INPUT!AO63)</f>
        <v>0</v>
      </c>
      <c r="M1117" s="184">
        <f>IF(G1117&lt;=K1117,1*L1037*INPUT!AO63*L957,IF(G1117&lt;=L1117,1*L1037*INPUT!AO63*(L957-(L957-(L957-0.3)/L1037)*(G1117-K1117)/(L1117-K1117)),0.9*INPUT!$B$2*1*I1117/G1117^2))</f>
        <v>0</v>
      </c>
      <c r="N1117" s="286">
        <f>IF(G1117&lt;=1.12*SQRT(INPUT!$B$2*J1117/INPUT!AO63),0.58*INPUT!AO63,IF(G1117&lt;=1.4*SQRT(INPUT!$B$2*J1117/INPUT!AO63),0.65*SQRT(INPUT!AO63*INPUT!$B$2*J1117)/G1117,0.9*INPUT!$B$2*J1117/G1117^2))</f>
        <v>0</v>
      </c>
    </row>
    <row r="1118">
      <c r="A1118" s="187">
        <f>A1038</f>
        <v>101</v>
      </c>
      <c r="B1118" s="174" t="str">
        <f>B535</f>
        <v>Negative</v>
      </c>
      <c r="C1118" s="174">
        <f>IF(B1118="Positive",INPUT!AG64,INPUT!AD64)</f>
        <v>2</v>
      </c>
      <c r="D1118" s="191">
        <f>IF(B1118="Positive",IF(INPUT!AG64=0,0,(INPUT!U64-INPUT!AG64*INPUT!AH64)/(INPUT!AG64+1)),IF(INPUT!AD64=0,0,(INPUT!K64-2*INPUT!M64-INPUT!AD64*INPUT!AE64)/(INPUT!AD64+1)))</f>
        <v>558.7770783930888</v>
      </c>
      <c r="E1118" s="174">
        <f>IF(B1118="Positive",D878,F878)</f>
        <v>12</v>
      </c>
      <c r="F1118" s="174">
        <f>IF(B1118="Positive",C878,E878)</f>
        <v>1936.3312351792665</v>
      </c>
      <c r="G1118" s="191">
        <f>IF(D1118=0,F1118,D1118)/E1118</f>
        <v>46.5647565327574</v>
      </c>
      <c r="H1118" s="174">
        <f>IF(B1118="Positive",1/3*INPUT!AH64*INPUT!AI64^3,1/3*INPUT!AE64*INPUT!AF64^3)</f>
        <v>13653333.333333332</v>
      </c>
      <c r="I1118" s="192">
        <f>IF(D1118=0,4,MIN(MAX((IF(C1118=1,8,0.894)*H1118/D1118/E1118^3)^(1/3),1),4))</f>
        <v>2.3295102753141137</v>
      </c>
      <c r="J1118" s="192">
        <f>IF(D1118=0,5.34,MIN((5.34+2.84*(H1118/D1118/E1118^3)^(1/3))/((C1118+1)^2),5.34))</f>
        <v>1.3563979013960836</v>
      </c>
      <c r="K1118" s="191">
        <f>0.57*SQRT(INPUT!$B$2*I1118/INPUT!AO64/L958)</f>
        <v>0</v>
      </c>
      <c r="L1118" s="191">
        <f>0.95*SQRT(INPUT!$B$2*I1118/(L958-0.3)/INPUT!AO64)</f>
        <v>0</v>
      </c>
      <c r="M1118" s="184">
        <f>IF(G1118&lt;=K1118,1*L1038*INPUT!AO64*L958,IF(G1118&lt;=L1118,1*L1038*INPUT!AO64*(L958-(L958-(L958-0.3)/L1038)*(G1118-K1118)/(L1118-K1118)),0.9*INPUT!$B$2*1*I1118/G1118^2))</f>
        <v>0</v>
      </c>
      <c r="N1118" s="286">
        <f>IF(G1118&lt;=1.12*SQRT(INPUT!$B$2*J1118/INPUT!AO64),0.58*INPUT!AO64,IF(G1118&lt;=1.4*SQRT(INPUT!$B$2*J1118/INPUT!AO64),0.65*SQRT(INPUT!AO64*INPUT!$B$2*J1118)/G1118,0.9*INPUT!$B$2*J1118/G1118^2))</f>
        <v>0</v>
      </c>
    </row>
    <row r="1119">
      <c r="A1119" s="187">
        <f>A1039</f>
        <v>101</v>
      </c>
      <c r="B1119" s="174" t="str">
        <f>B536</f>
        <v>Negative</v>
      </c>
      <c r="C1119" s="174">
        <f>IF(B1119="Positive",INPUT!AG65,INPUT!AD65)</f>
        <v>2</v>
      </c>
      <c r="D1119" s="191">
        <f>IF(B1119="Positive",IF(INPUT!AG65=0,0,(INPUT!U65-INPUT!AG65*INPUT!AH65)/(INPUT!AG65+1)),IF(INPUT!AD65=0,0,(INPUT!K65-2*INPUT!M65-INPUT!AD65*INPUT!AE65)/(INPUT!AD65+1)))</f>
        <v>558.7770783930888</v>
      </c>
      <c r="E1119" s="174">
        <f>IF(B1119="Positive",D879,F879)</f>
        <v>12</v>
      </c>
      <c r="F1119" s="174">
        <f>IF(B1119="Positive",C879,E879)</f>
        <v>1936.3312351792665</v>
      </c>
      <c r="G1119" s="191">
        <f>IF(D1119=0,F1119,D1119)/E1119</f>
        <v>46.5647565327574</v>
      </c>
      <c r="H1119" s="174">
        <f>IF(B1119="Positive",1/3*INPUT!AH65*INPUT!AI65^3,1/3*INPUT!AE65*INPUT!AF65^3)</f>
        <v>13653333.333333332</v>
      </c>
      <c r="I1119" s="192">
        <f>IF(D1119=0,4,MIN(MAX((IF(C1119=1,8,0.894)*H1119/D1119/E1119^3)^(1/3),1),4))</f>
        <v>2.3295102753141137</v>
      </c>
      <c r="J1119" s="192">
        <f>IF(D1119=0,5.34,MIN((5.34+2.84*(H1119/D1119/E1119^3)^(1/3))/((C1119+1)^2),5.34))</f>
        <v>1.3563979013960836</v>
      </c>
      <c r="K1119" s="191">
        <f>0.57*SQRT(INPUT!$B$2*I1119/INPUT!AO65/L959)</f>
        <v>0</v>
      </c>
      <c r="L1119" s="191">
        <f>0.95*SQRT(INPUT!$B$2*I1119/(L959-0.3)/INPUT!AO65)</f>
        <v>0</v>
      </c>
      <c r="M1119" s="184">
        <f>IF(G1119&lt;=K1119,1*L1039*INPUT!AO65*L959,IF(G1119&lt;=L1119,1*L1039*INPUT!AO65*(L959-(L959-(L959-0.3)/L1039)*(G1119-K1119)/(L1119-K1119)),0.9*INPUT!$B$2*1*I1119/G1119^2))</f>
        <v>0</v>
      </c>
      <c r="N1119" s="286">
        <f>IF(G1119&lt;=1.12*SQRT(INPUT!$B$2*J1119/INPUT!AO65),0.58*INPUT!AO65,IF(G1119&lt;=1.4*SQRT(INPUT!$B$2*J1119/INPUT!AO65),0.65*SQRT(INPUT!AO65*INPUT!$B$2*J1119)/G1119,0.9*INPUT!$B$2*J1119/G1119^2))</f>
        <v>0</v>
      </c>
    </row>
    <row r="1120">
      <c r="A1120" s="187">
        <f>A1040</f>
        <v>101</v>
      </c>
      <c r="B1120" s="174" t="str">
        <f>B537</f>
        <v>Negative</v>
      </c>
      <c r="C1120" s="174">
        <f>IF(B1120="Positive",INPUT!AG66,INPUT!AD66)</f>
        <v>2</v>
      </c>
      <c r="D1120" s="191">
        <f>IF(B1120="Positive",IF(INPUT!AG66=0,0,(INPUT!U66-INPUT!AG66*INPUT!AH66)/(INPUT!AG66+1)),IF(INPUT!AD66=0,0,(INPUT!K66-2*INPUT!M66-INPUT!AD66*INPUT!AE66)/(INPUT!AD66+1)))</f>
        <v>558.7770783930888</v>
      </c>
      <c r="E1120" s="174">
        <f>IF(B1120="Positive",D880,F880)</f>
        <v>12</v>
      </c>
      <c r="F1120" s="174">
        <f>IF(B1120="Positive",C880,E880)</f>
        <v>1936.3312351792665</v>
      </c>
      <c r="G1120" s="191">
        <f>IF(D1120=0,F1120,D1120)/E1120</f>
        <v>46.5647565327574</v>
      </c>
      <c r="H1120" s="174">
        <f>IF(B1120="Positive",1/3*INPUT!AH66*INPUT!AI66^3,1/3*INPUT!AE66*INPUT!AF66^3)</f>
        <v>13653333.333333332</v>
      </c>
      <c r="I1120" s="192">
        <f>IF(D1120=0,4,MIN(MAX((IF(C1120=1,8,0.894)*H1120/D1120/E1120^3)^(1/3),1),4))</f>
        <v>2.3295102753141137</v>
      </c>
      <c r="J1120" s="192">
        <f>IF(D1120=0,5.34,MIN((5.34+2.84*(H1120/D1120/E1120^3)^(1/3))/((C1120+1)^2),5.34))</f>
        <v>1.3563979013960836</v>
      </c>
      <c r="K1120" s="191">
        <f>0.57*SQRT(INPUT!$B$2*I1120/INPUT!AO66/L960)</f>
        <v>0</v>
      </c>
      <c r="L1120" s="191">
        <f>0.95*SQRT(INPUT!$B$2*I1120/(L960-0.3)/INPUT!AO66)</f>
        <v>0</v>
      </c>
      <c r="M1120" s="184">
        <f>IF(G1120&lt;=K1120,1*L1040*INPUT!AO66*L960,IF(G1120&lt;=L1120,1*L1040*INPUT!AO66*(L960-(L960-(L960-0.3)/L1040)*(G1120-K1120)/(L1120-K1120)),0.9*INPUT!$B$2*1*I1120/G1120^2))</f>
        <v>0</v>
      </c>
      <c r="N1120" s="286">
        <f>IF(G1120&lt;=1.12*SQRT(INPUT!$B$2*J1120/INPUT!AO66),0.58*INPUT!AO66,IF(G1120&lt;=1.4*SQRT(INPUT!$B$2*J1120/INPUT!AO66),0.65*SQRT(INPUT!AO66*INPUT!$B$2*J1120)/G1120,0.9*INPUT!$B$2*J1120/G1120^2))</f>
        <v>0</v>
      </c>
    </row>
    <row r="1121">
      <c r="A1121" s="187">
        <f>A1041</f>
        <v>101</v>
      </c>
      <c r="B1121" s="174" t="str">
        <f>B538</f>
        <v>Negative</v>
      </c>
      <c r="C1121" s="174">
        <f>IF(B1121="Positive",INPUT!AG67,INPUT!AD67)</f>
        <v>2</v>
      </c>
      <c r="D1121" s="191">
        <f>IF(B1121="Positive",IF(INPUT!AG67=0,0,(INPUT!U67-INPUT!AG67*INPUT!AH67)/(INPUT!AG67+1)),IF(INPUT!AD67=0,0,(INPUT!K67-2*INPUT!M67-INPUT!AD67*INPUT!AE67)/(INPUT!AD67+1)))</f>
        <v>558.7770783930888</v>
      </c>
      <c r="E1121" s="174">
        <f>IF(B1121="Positive",D881,F881)</f>
        <v>12</v>
      </c>
      <c r="F1121" s="174">
        <f>IF(B1121="Positive",C881,E881)</f>
        <v>1936.3312351792665</v>
      </c>
      <c r="G1121" s="191">
        <f>IF(D1121=0,F1121,D1121)/E1121</f>
        <v>46.5647565327574</v>
      </c>
      <c r="H1121" s="174">
        <f>IF(B1121="Positive",1/3*INPUT!AH67*INPUT!AI67^3,1/3*INPUT!AE67*INPUT!AF67^3)</f>
        <v>13653333.333333332</v>
      </c>
      <c r="I1121" s="192">
        <f>IF(D1121=0,4,MIN(MAX((IF(C1121=1,8,0.894)*H1121/D1121/E1121^3)^(1/3),1),4))</f>
        <v>2.3295102753141137</v>
      </c>
      <c r="J1121" s="192">
        <f>IF(D1121=0,5.34,MIN((5.34+2.84*(H1121/D1121/E1121^3)^(1/3))/((C1121+1)^2),5.34))</f>
        <v>1.3563979013960836</v>
      </c>
      <c r="K1121" s="191">
        <f>0.57*SQRT(INPUT!$B$2*I1121/INPUT!AO67/L961)</f>
        <v>0</v>
      </c>
      <c r="L1121" s="191">
        <f>0.95*SQRT(INPUT!$B$2*I1121/(L961-0.3)/INPUT!AO67)</f>
        <v>0</v>
      </c>
      <c r="M1121" s="184">
        <f>IF(G1121&lt;=K1121,1*L1041*INPUT!AO67*L961,IF(G1121&lt;=L1121,1*L1041*INPUT!AO67*(L961-(L961-(L961-0.3)/L1041)*(G1121-K1121)/(L1121-K1121)),0.9*INPUT!$B$2*1*I1121/G1121^2))</f>
        <v>0</v>
      </c>
      <c r="N1121" s="286">
        <f>IF(G1121&lt;=1.12*SQRT(INPUT!$B$2*J1121/INPUT!AO67),0.58*INPUT!AO67,IF(G1121&lt;=1.4*SQRT(INPUT!$B$2*J1121/INPUT!AO67),0.65*SQRT(INPUT!AO67*INPUT!$B$2*J1121)/G1121,0.9*INPUT!$B$2*J1121/G1121^2))</f>
        <v>0</v>
      </c>
    </row>
    <row r="1122">
      <c r="A1122" s="187">
        <f>A1042</f>
        <v>101</v>
      </c>
      <c r="B1122" s="174" t="str">
        <f>B539</f>
        <v>Negative</v>
      </c>
      <c r="C1122" s="174">
        <f>IF(B1122="Positive",INPUT!AG68,INPUT!AD68)</f>
        <v>2</v>
      </c>
      <c r="D1122" s="191">
        <f>IF(B1122="Positive",IF(INPUT!AG68=0,0,(INPUT!U68-INPUT!AG68*INPUT!AH68)/(INPUT!AG68+1)),IF(INPUT!AD68=0,0,(INPUT!K68-2*INPUT!M68-INPUT!AD68*INPUT!AE68)/(INPUT!AD68+1)))</f>
        <v>558.7770783930888</v>
      </c>
      <c r="E1122" s="174">
        <f>IF(B1122="Positive",D882,F882)</f>
        <v>12</v>
      </c>
      <c r="F1122" s="174">
        <f>IF(B1122="Positive",C882,E882)</f>
        <v>1936.3312351792665</v>
      </c>
      <c r="G1122" s="191">
        <f>IF(D1122=0,F1122,D1122)/E1122</f>
        <v>46.5647565327574</v>
      </c>
      <c r="H1122" s="174">
        <f>IF(B1122="Positive",1/3*INPUT!AH68*INPUT!AI68^3,1/3*INPUT!AE68*INPUT!AF68^3)</f>
        <v>13653333.333333332</v>
      </c>
      <c r="I1122" s="192">
        <f>IF(D1122=0,4,MIN(MAX((IF(C1122=1,8,0.894)*H1122/D1122/E1122^3)^(1/3),1),4))</f>
        <v>2.3295102753141137</v>
      </c>
      <c r="J1122" s="192">
        <f>IF(D1122=0,5.34,MIN((5.34+2.84*(H1122/D1122/E1122^3)^(1/3))/((C1122+1)^2),5.34))</f>
        <v>1.3563979013960836</v>
      </c>
      <c r="K1122" s="191">
        <f>0.57*SQRT(INPUT!$B$2*I1122/INPUT!AO68/L962)</f>
        <v>0</v>
      </c>
      <c r="L1122" s="191">
        <f>0.95*SQRT(INPUT!$B$2*I1122/(L962-0.3)/INPUT!AO68)</f>
        <v>0</v>
      </c>
      <c r="M1122" s="184">
        <f>IF(G1122&lt;=K1122,1*L1042*INPUT!AO68*L962,IF(G1122&lt;=L1122,1*L1042*INPUT!AO68*(L962-(L962-(L962-0.3)/L1042)*(G1122-K1122)/(L1122-K1122)),0.9*INPUT!$B$2*1*I1122/G1122^2))</f>
        <v>0</v>
      </c>
      <c r="N1122" s="286">
        <f>IF(G1122&lt;=1.12*SQRT(INPUT!$B$2*J1122/INPUT!AO68),0.58*INPUT!AO68,IF(G1122&lt;=1.4*SQRT(INPUT!$B$2*J1122/INPUT!AO68),0.65*SQRT(INPUT!AO68*INPUT!$B$2*J1122)/G1122,0.9*INPUT!$B$2*J1122/G1122^2))</f>
        <v>0</v>
      </c>
    </row>
    <row r="1123">
      <c r="A1123" s="187">
        <f>A1043</f>
        <v>101</v>
      </c>
      <c r="B1123" s="174" t="str">
        <f>B540</f>
        <v>Negative</v>
      </c>
      <c r="C1123" s="174">
        <f>IF(B1123="Positive",INPUT!AG69,INPUT!AD69)</f>
        <v>2</v>
      </c>
      <c r="D1123" s="191">
        <f>IF(B1123="Positive",IF(INPUT!AG69=0,0,(INPUT!U69-INPUT!AG69*INPUT!AH69)/(INPUT!AG69+1)),IF(INPUT!AD69=0,0,(INPUT!K69-2*INPUT!M69-INPUT!AD69*INPUT!AE69)/(INPUT!AD69+1)))</f>
        <v>558.7770783930888</v>
      </c>
      <c r="E1123" s="174">
        <f>IF(B1123="Positive",D883,F883)</f>
        <v>12</v>
      </c>
      <c r="F1123" s="174">
        <f>IF(B1123="Positive",C883,E883)</f>
        <v>1936.3312351792665</v>
      </c>
      <c r="G1123" s="191">
        <f>IF(D1123=0,F1123,D1123)/E1123</f>
        <v>46.5647565327574</v>
      </c>
      <c r="H1123" s="174">
        <f>IF(B1123="Positive",1/3*INPUT!AH69*INPUT!AI69^3,1/3*INPUT!AE69*INPUT!AF69^3)</f>
        <v>13653333.333333332</v>
      </c>
      <c r="I1123" s="192">
        <f>IF(D1123=0,4,MIN(MAX((IF(C1123=1,8,0.894)*H1123/D1123/E1123^3)^(1/3),1),4))</f>
        <v>2.3295102753141137</v>
      </c>
      <c r="J1123" s="192">
        <f>IF(D1123=0,5.34,MIN((5.34+2.84*(H1123/D1123/E1123^3)^(1/3))/((C1123+1)^2),5.34))</f>
        <v>1.3563979013960836</v>
      </c>
      <c r="K1123" s="191">
        <f>0.57*SQRT(INPUT!$B$2*I1123/INPUT!AO69/L963)</f>
        <v>0</v>
      </c>
      <c r="L1123" s="191">
        <f>0.95*SQRT(INPUT!$B$2*I1123/(L963-0.3)/INPUT!AO69)</f>
        <v>0</v>
      </c>
      <c r="M1123" s="184">
        <f>IF(G1123&lt;=K1123,1*L1043*INPUT!AO69*L963,IF(G1123&lt;=L1123,1*L1043*INPUT!AO69*(L963-(L963-(L963-0.3)/L1043)*(G1123-K1123)/(L1123-K1123)),0.9*INPUT!$B$2*1*I1123/G1123^2))</f>
        <v>0</v>
      </c>
      <c r="N1123" s="286">
        <f>IF(G1123&lt;=1.12*SQRT(INPUT!$B$2*J1123/INPUT!AO69),0.58*INPUT!AO69,IF(G1123&lt;=1.4*SQRT(INPUT!$B$2*J1123/INPUT!AO69),0.65*SQRT(INPUT!AO69*INPUT!$B$2*J1123)/G1123,0.9*INPUT!$B$2*J1123/G1123^2))</f>
        <v>0</v>
      </c>
    </row>
    <row r="1124">
      <c r="A1124" s="187">
        <f>A1044</f>
        <v>101</v>
      </c>
      <c r="B1124" s="174" t="str">
        <f>B541</f>
        <v>Negative</v>
      </c>
      <c r="C1124" s="174">
        <f>IF(B1124="Positive",INPUT!AG70,INPUT!AD70)</f>
        <v>2</v>
      </c>
      <c r="D1124" s="191">
        <f>IF(B1124="Positive",IF(INPUT!AG70=0,0,(INPUT!U70-INPUT!AG70*INPUT!AH70)/(INPUT!AG70+1)),IF(INPUT!AD70=0,0,(INPUT!K70-2*INPUT!M70-INPUT!AD70*INPUT!AE70)/(INPUT!AD70+1)))</f>
        <v>558.7770783930888</v>
      </c>
      <c r="E1124" s="174">
        <f>IF(B1124="Positive",D884,F884)</f>
        <v>12</v>
      </c>
      <c r="F1124" s="174">
        <f>IF(B1124="Positive",C884,E884)</f>
        <v>1936.3312351792665</v>
      </c>
      <c r="G1124" s="191">
        <f>IF(D1124=0,F1124,D1124)/E1124</f>
        <v>46.5647565327574</v>
      </c>
      <c r="H1124" s="174">
        <f>IF(B1124="Positive",1/3*INPUT!AH70*INPUT!AI70^3,1/3*INPUT!AE70*INPUT!AF70^3)</f>
        <v>13653333.333333332</v>
      </c>
      <c r="I1124" s="192">
        <f>IF(D1124=0,4,MIN(MAX((IF(C1124=1,8,0.894)*H1124/D1124/E1124^3)^(1/3),1),4))</f>
        <v>2.3295102753141137</v>
      </c>
      <c r="J1124" s="192">
        <f>IF(D1124=0,5.34,MIN((5.34+2.84*(H1124/D1124/E1124^3)^(1/3))/((C1124+1)^2),5.34))</f>
        <v>1.3563979013960836</v>
      </c>
      <c r="K1124" s="191">
        <f>0.57*SQRT(INPUT!$B$2*I1124/INPUT!AO70/L964)</f>
        <v>0</v>
      </c>
      <c r="L1124" s="191">
        <f>0.95*SQRT(INPUT!$B$2*I1124/(L964-0.3)/INPUT!AO70)</f>
        <v>0</v>
      </c>
      <c r="M1124" s="184">
        <f>IF(G1124&lt;=K1124,1*L1044*INPUT!AO70*L964,IF(G1124&lt;=L1124,1*L1044*INPUT!AO70*(L964-(L964-(L964-0.3)/L1044)*(G1124-K1124)/(L1124-K1124)),0.9*INPUT!$B$2*1*I1124/G1124^2))</f>
        <v>0</v>
      </c>
      <c r="N1124" s="286">
        <f>IF(G1124&lt;=1.12*SQRT(INPUT!$B$2*J1124/INPUT!AO70),0.58*INPUT!AO70,IF(G1124&lt;=1.4*SQRT(INPUT!$B$2*J1124/INPUT!AO70),0.65*SQRT(INPUT!AO70*INPUT!$B$2*J1124)/G1124,0.9*INPUT!$B$2*J1124/G1124^2))</f>
        <v>0</v>
      </c>
    </row>
    <row r="1125">
      <c r="A1125" s="187">
        <f>A1045</f>
        <v>101</v>
      </c>
      <c r="B1125" s="174" t="str">
        <f>B542</f>
        <v>Negative</v>
      </c>
      <c r="C1125" s="174">
        <f>IF(B1125="Positive",INPUT!AG71,INPUT!AD71)</f>
        <v>2</v>
      </c>
      <c r="D1125" s="191">
        <f>IF(B1125="Positive",IF(INPUT!AG71=0,0,(INPUT!U71-INPUT!AG71*INPUT!AH71)/(INPUT!AG71+1)),IF(INPUT!AD71=0,0,(INPUT!K71-2*INPUT!M71-INPUT!AD71*INPUT!AE71)/(INPUT!AD71+1)))</f>
        <v>558.7770783930888</v>
      </c>
      <c r="E1125" s="174">
        <f>IF(B1125="Positive",D885,F885)</f>
        <v>12</v>
      </c>
      <c r="F1125" s="174">
        <f>IF(B1125="Positive",C885,E885)</f>
        <v>1936.3312351792665</v>
      </c>
      <c r="G1125" s="191">
        <f>IF(D1125=0,F1125,D1125)/E1125</f>
        <v>46.5647565327574</v>
      </c>
      <c r="H1125" s="174">
        <f>IF(B1125="Positive",1/3*INPUT!AH71*INPUT!AI71^3,1/3*INPUT!AE71*INPUT!AF71^3)</f>
        <v>13653333.333333332</v>
      </c>
      <c r="I1125" s="192">
        <f>IF(D1125=0,4,MIN(MAX((IF(C1125=1,8,0.894)*H1125/D1125/E1125^3)^(1/3),1),4))</f>
        <v>2.3295102753141137</v>
      </c>
      <c r="J1125" s="192">
        <f>IF(D1125=0,5.34,MIN((5.34+2.84*(H1125/D1125/E1125^3)^(1/3))/((C1125+1)^2),5.34))</f>
        <v>1.3563979013960836</v>
      </c>
      <c r="K1125" s="191">
        <f>0.57*SQRT(INPUT!$B$2*I1125/INPUT!AO71/L965)</f>
        <v>0</v>
      </c>
      <c r="L1125" s="191">
        <f>0.95*SQRT(INPUT!$B$2*I1125/(L965-0.3)/INPUT!AO71)</f>
        <v>0</v>
      </c>
      <c r="M1125" s="184">
        <f>IF(G1125&lt;=K1125,1*L1045*INPUT!AO71*L965,IF(G1125&lt;=L1125,1*L1045*INPUT!AO71*(L965-(L965-(L965-0.3)/L1045)*(G1125-K1125)/(L1125-K1125)),0.9*INPUT!$B$2*1*I1125/G1125^2))</f>
        <v>0</v>
      </c>
      <c r="N1125" s="286">
        <f>IF(G1125&lt;=1.12*SQRT(INPUT!$B$2*J1125/INPUT!AO71),0.58*INPUT!AO71,IF(G1125&lt;=1.4*SQRT(INPUT!$B$2*J1125/INPUT!AO71),0.65*SQRT(INPUT!AO71*INPUT!$B$2*J1125)/G1125,0.9*INPUT!$B$2*J1125/G1125^2))</f>
        <v>0</v>
      </c>
    </row>
    <row r="1126">
      <c r="A1126" s="187">
        <f>A1046</f>
        <v>101</v>
      </c>
      <c r="B1126" s="174" t="str">
        <f>B543</f>
        <v>Negative</v>
      </c>
      <c r="C1126" s="174">
        <f>IF(B1126="Positive",INPUT!AG72,INPUT!AD72)</f>
        <v>2</v>
      </c>
      <c r="D1126" s="191">
        <f>IF(B1126="Positive",IF(INPUT!AG72=0,0,(INPUT!U72-INPUT!AG72*INPUT!AH72)/(INPUT!AG72+1)),IF(INPUT!AD72=0,0,(INPUT!K72-2*INPUT!M72-INPUT!AD72*INPUT!AE72)/(INPUT!AD72+1)))</f>
        <v>558.7770783930888</v>
      </c>
      <c r="E1126" s="174">
        <f>IF(B1126="Positive",D886,F886)</f>
        <v>12</v>
      </c>
      <c r="F1126" s="174">
        <f>IF(B1126="Positive",C886,E886)</f>
        <v>1936.3312351792665</v>
      </c>
      <c r="G1126" s="191">
        <f>IF(D1126=0,F1126,D1126)/E1126</f>
        <v>46.5647565327574</v>
      </c>
      <c r="H1126" s="174">
        <f>IF(B1126="Positive",1/3*INPUT!AH72*INPUT!AI72^3,1/3*INPUT!AE72*INPUT!AF72^3)</f>
        <v>13653333.333333332</v>
      </c>
      <c r="I1126" s="192">
        <f>IF(D1126=0,4,MIN(MAX((IF(C1126=1,8,0.894)*H1126/D1126/E1126^3)^(1/3),1),4))</f>
        <v>2.3295102753141137</v>
      </c>
      <c r="J1126" s="192">
        <f>IF(D1126=0,5.34,MIN((5.34+2.84*(H1126/D1126/E1126^3)^(1/3))/((C1126+1)^2),5.34))</f>
        <v>1.3563979013960836</v>
      </c>
      <c r="K1126" s="191">
        <f>0.57*SQRT(INPUT!$B$2*I1126/INPUT!AO72/L966)</f>
        <v>0</v>
      </c>
      <c r="L1126" s="191">
        <f>0.95*SQRT(INPUT!$B$2*I1126/(L966-0.3)/INPUT!AO72)</f>
        <v>0</v>
      </c>
      <c r="M1126" s="184">
        <f>IF(G1126&lt;=K1126,1*L1046*INPUT!AO72*L966,IF(G1126&lt;=L1126,1*L1046*INPUT!AO72*(L966-(L966-(L966-0.3)/L1046)*(G1126-K1126)/(L1126-K1126)),0.9*INPUT!$B$2*1*I1126/G1126^2))</f>
        <v>0</v>
      </c>
      <c r="N1126" s="286">
        <f>IF(G1126&lt;=1.12*SQRT(INPUT!$B$2*J1126/INPUT!AO72),0.58*INPUT!AO72,IF(G1126&lt;=1.4*SQRT(INPUT!$B$2*J1126/INPUT!AO72),0.65*SQRT(INPUT!AO72*INPUT!$B$2*J1126)/G1126,0.9*INPUT!$B$2*J1126/G1126^2))</f>
        <v>0</v>
      </c>
    </row>
    <row r="1127">
      <c r="A1127" s="187">
        <f>A1047</f>
        <v>101</v>
      </c>
      <c r="B1127" s="174" t="str">
        <f>B544</f>
        <v>Negative</v>
      </c>
      <c r="C1127" s="174">
        <f>IF(B1127="Positive",INPUT!AG73,INPUT!AD73)</f>
        <v>2</v>
      </c>
      <c r="D1127" s="191">
        <f>IF(B1127="Positive",IF(INPUT!AG73=0,0,(INPUT!U73-INPUT!AG73*INPUT!AH73)/(INPUT!AG73+1)),IF(INPUT!AD73=0,0,(INPUT!K73-2*INPUT!M73-INPUT!AD73*INPUT!AE73)/(INPUT!AD73+1)))</f>
        <v>558.7770783930888</v>
      </c>
      <c r="E1127" s="174">
        <f>IF(B1127="Positive",D887,F887)</f>
        <v>12</v>
      </c>
      <c r="F1127" s="174">
        <f>IF(B1127="Positive",C887,E887)</f>
        <v>1936.3312351792665</v>
      </c>
      <c r="G1127" s="191">
        <f>IF(D1127=0,F1127,D1127)/E1127</f>
        <v>46.5647565327574</v>
      </c>
      <c r="H1127" s="174">
        <f>IF(B1127="Positive",1/3*INPUT!AH73*INPUT!AI73^3,1/3*INPUT!AE73*INPUT!AF73^3)</f>
        <v>13653333.333333332</v>
      </c>
      <c r="I1127" s="192">
        <f>IF(D1127=0,4,MIN(MAX((IF(C1127=1,8,0.894)*H1127/D1127/E1127^3)^(1/3),1),4))</f>
        <v>2.3295102753141137</v>
      </c>
      <c r="J1127" s="192">
        <f>IF(D1127=0,5.34,MIN((5.34+2.84*(H1127/D1127/E1127^3)^(1/3))/((C1127+1)^2),5.34))</f>
        <v>1.3563979013960836</v>
      </c>
      <c r="K1127" s="191">
        <f>0.57*SQRT(INPUT!$B$2*I1127/INPUT!AO73/L967)</f>
        <v>0</v>
      </c>
      <c r="L1127" s="191">
        <f>0.95*SQRT(INPUT!$B$2*I1127/(L967-0.3)/INPUT!AO73)</f>
        <v>0</v>
      </c>
      <c r="M1127" s="184">
        <f>IF(G1127&lt;=K1127,1*L1047*INPUT!AO73*L967,IF(G1127&lt;=L1127,1*L1047*INPUT!AO73*(L967-(L967-(L967-0.3)/L1047)*(G1127-K1127)/(L1127-K1127)),0.9*INPUT!$B$2*1*I1127/G1127^2))</f>
        <v>0</v>
      </c>
      <c r="N1127" s="286">
        <f>IF(G1127&lt;=1.12*SQRT(INPUT!$B$2*J1127/INPUT!AO73),0.58*INPUT!AO73,IF(G1127&lt;=1.4*SQRT(INPUT!$B$2*J1127/INPUT!AO73),0.65*SQRT(INPUT!AO73*INPUT!$B$2*J1127)/G1127,0.9*INPUT!$B$2*J1127/G1127^2))</f>
        <v>0</v>
      </c>
    </row>
    <row r="1128">
      <c r="A1128" s="187">
        <f>A1048</f>
        <v>101</v>
      </c>
      <c r="B1128" s="174" t="str">
        <f>B545</f>
        <v>Negative</v>
      </c>
      <c r="C1128" s="174">
        <f>IF(B1128="Positive",INPUT!AG74,INPUT!AD74)</f>
        <v>2</v>
      </c>
      <c r="D1128" s="191">
        <f>IF(B1128="Positive",IF(INPUT!AG74=0,0,(INPUT!U74-INPUT!AG74*INPUT!AH74)/(INPUT!AG74+1)),IF(INPUT!AD74=0,0,(INPUT!K74-2*INPUT!M74-INPUT!AD74*INPUT!AE74)/(INPUT!AD74+1)))</f>
        <v>558.7770783930888</v>
      </c>
      <c r="E1128" s="174">
        <f>IF(B1128="Positive",D888,F888)</f>
        <v>12</v>
      </c>
      <c r="F1128" s="174">
        <f>IF(B1128="Positive",C888,E888)</f>
        <v>1936.3312351792665</v>
      </c>
      <c r="G1128" s="191">
        <f>IF(D1128=0,F1128,D1128)/E1128</f>
        <v>46.5647565327574</v>
      </c>
      <c r="H1128" s="174">
        <f>IF(B1128="Positive",1/3*INPUT!AH74*INPUT!AI74^3,1/3*INPUT!AE74*INPUT!AF74^3)</f>
        <v>13653333.333333332</v>
      </c>
      <c r="I1128" s="192">
        <f>IF(D1128=0,4,MIN(MAX((IF(C1128=1,8,0.894)*H1128/D1128/E1128^3)^(1/3),1),4))</f>
        <v>2.3295102753141137</v>
      </c>
      <c r="J1128" s="192">
        <f>IF(D1128=0,5.34,MIN((5.34+2.84*(H1128/D1128/E1128^3)^(1/3))/((C1128+1)^2),5.34))</f>
        <v>1.3563979013960836</v>
      </c>
      <c r="K1128" s="191">
        <f>0.57*SQRT(INPUT!$B$2*I1128/INPUT!AO74/L968)</f>
        <v>0</v>
      </c>
      <c r="L1128" s="191">
        <f>0.95*SQRT(INPUT!$B$2*I1128/(L968-0.3)/INPUT!AO74)</f>
        <v>0</v>
      </c>
      <c r="M1128" s="184">
        <f>IF(G1128&lt;=K1128,1*L1048*INPUT!AO74*L968,IF(G1128&lt;=L1128,1*L1048*INPUT!AO74*(L968-(L968-(L968-0.3)/L1048)*(G1128-K1128)/(L1128-K1128)),0.9*INPUT!$B$2*1*I1128/G1128^2))</f>
        <v>0</v>
      </c>
      <c r="N1128" s="286">
        <f>IF(G1128&lt;=1.12*SQRT(INPUT!$B$2*J1128/INPUT!AO74),0.58*INPUT!AO74,IF(G1128&lt;=1.4*SQRT(INPUT!$B$2*J1128/INPUT!AO74),0.65*SQRT(INPUT!AO74*INPUT!$B$2*J1128)/G1128,0.9*INPUT!$B$2*J1128/G1128^2))</f>
        <v>0</v>
      </c>
    </row>
    <row r="1129">
      <c r="A1129" s="187">
        <f>A1049</f>
        <v>101</v>
      </c>
      <c r="B1129" s="174" t="str">
        <f>B546</f>
        <v>Negative</v>
      </c>
      <c r="C1129" s="174">
        <f>IF(B1129="Positive",INPUT!AG75,INPUT!AD75)</f>
        <v>2</v>
      </c>
      <c r="D1129" s="191">
        <f>IF(B1129="Positive",IF(INPUT!AG75=0,0,(INPUT!U75-INPUT!AG75*INPUT!AH75)/(INPUT!AG75+1)),IF(INPUT!AD75=0,0,(INPUT!K75-2*INPUT!M75-INPUT!AD75*INPUT!AE75)/(INPUT!AD75+1)))</f>
        <v>558.7770783930888</v>
      </c>
      <c r="E1129" s="174">
        <f>IF(B1129="Positive",D889,F889)</f>
        <v>12</v>
      </c>
      <c r="F1129" s="174">
        <f>IF(B1129="Positive",C889,E889)</f>
        <v>1936.3312351792665</v>
      </c>
      <c r="G1129" s="191">
        <f>IF(D1129=0,F1129,D1129)/E1129</f>
        <v>46.5647565327574</v>
      </c>
      <c r="H1129" s="174">
        <f>IF(B1129="Positive",1/3*INPUT!AH75*INPUT!AI75^3,1/3*INPUT!AE75*INPUT!AF75^3)</f>
        <v>13653333.333333332</v>
      </c>
      <c r="I1129" s="192">
        <f>IF(D1129=0,4,MIN(MAX((IF(C1129=1,8,0.894)*H1129/D1129/E1129^3)^(1/3),1),4))</f>
        <v>2.3295102753141137</v>
      </c>
      <c r="J1129" s="192">
        <f>IF(D1129=0,5.34,MIN((5.34+2.84*(H1129/D1129/E1129^3)^(1/3))/((C1129+1)^2),5.34))</f>
        <v>1.3563979013960836</v>
      </c>
      <c r="K1129" s="191">
        <f>0.57*SQRT(INPUT!$B$2*I1129/INPUT!AO75/L969)</f>
        <v>0</v>
      </c>
      <c r="L1129" s="191">
        <f>0.95*SQRT(INPUT!$B$2*I1129/(L969-0.3)/INPUT!AO75)</f>
        <v>0</v>
      </c>
      <c r="M1129" s="184">
        <f>IF(G1129&lt;=K1129,1*L1049*INPUT!AO75*L969,IF(G1129&lt;=L1129,1*L1049*INPUT!AO75*(L969-(L969-(L969-0.3)/L1049)*(G1129-K1129)/(L1129-K1129)),0.9*INPUT!$B$2*1*I1129/G1129^2))</f>
        <v>0</v>
      </c>
      <c r="N1129" s="286">
        <f>IF(G1129&lt;=1.12*SQRT(INPUT!$B$2*J1129/INPUT!AO75),0.58*INPUT!AO75,IF(G1129&lt;=1.4*SQRT(INPUT!$B$2*J1129/INPUT!AO75),0.65*SQRT(INPUT!AO75*INPUT!$B$2*J1129)/G1129,0.9*INPUT!$B$2*J1129/G1129^2))</f>
        <v>0</v>
      </c>
    </row>
    <row r="1130">
      <c r="A1130" s="187">
        <f>A1050</f>
        <v>101</v>
      </c>
      <c r="B1130" s="174" t="str">
        <f>B547</f>
        <v>Negative</v>
      </c>
      <c r="C1130" s="174">
        <f>IF(B1130="Positive",INPUT!AG76,INPUT!AD76)</f>
        <v>2</v>
      </c>
      <c r="D1130" s="191">
        <f>IF(B1130="Positive",IF(INPUT!AG76=0,0,(INPUT!U76-INPUT!AG76*INPUT!AH76)/(INPUT!AG76+1)),IF(INPUT!AD76=0,0,(INPUT!K76-2*INPUT!M76-INPUT!AD76*INPUT!AE76)/(INPUT!AD76+1)))</f>
        <v>558.7770783930888</v>
      </c>
      <c r="E1130" s="174">
        <f>IF(B1130="Positive",D890,F890)</f>
        <v>12</v>
      </c>
      <c r="F1130" s="174">
        <f>IF(B1130="Positive",C890,E890)</f>
        <v>1936.3312351792665</v>
      </c>
      <c r="G1130" s="191">
        <f>IF(D1130=0,F1130,D1130)/E1130</f>
        <v>46.5647565327574</v>
      </c>
      <c r="H1130" s="174">
        <f>IF(B1130="Positive",1/3*INPUT!AH76*INPUT!AI76^3,1/3*INPUT!AE76*INPUT!AF76^3)</f>
        <v>13653333.333333332</v>
      </c>
      <c r="I1130" s="192">
        <f>IF(D1130=0,4,MIN(MAX((IF(C1130=1,8,0.894)*H1130/D1130/E1130^3)^(1/3),1),4))</f>
        <v>2.3295102753141137</v>
      </c>
      <c r="J1130" s="192">
        <f>IF(D1130=0,5.34,MIN((5.34+2.84*(H1130/D1130/E1130^3)^(1/3))/((C1130+1)^2),5.34))</f>
        <v>1.3563979013960836</v>
      </c>
      <c r="K1130" s="191">
        <f>0.57*SQRT(INPUT!$B$2*I1130/INPUT!AO76/L970)</f>
        <v>0</v>
      </c>
      <c r="L1130" s="191">
        <f>0.95*SQRT(INPUT!$B$2*I1130/(L970-0.3)/INPUT!AO76)</f>
        <v>0</v>
      </c>
      <c r="M1130" s="184">
        <f>IF(G1130&lt;=K1130,1*L1050*INPUT!AO76*L970,IF(G1130&lt;=L1130,1*L1050*INPUT!AO76*(L970-(L970-(L970-0.3)/L1050)*(G1130-K1130)/(L1130-K1130)),0.9*INPUT!$B$2*1*I1130/G1130^2))</f>
        <v>0</v>
      </c>
      <c r="N1130" s="286">
        <f>IF(G1130&lt;=1.12*SQRT(INPUT!$B$2*J1130/INPUT!AO76),0.58*INPUT!AO76,IF(G1130&lt;=1.4*SQRT(INPUT!$B$2*J1130/INPUT!AO76),0.65*SQRT(INPUT!AO76*INPUT!$B$2*J1130)/G1130,0.9*INPUT!$B$2*J1130/G1130^2))</f>
        <v>0</v>
      </c>
    </row>
    <row r="1131">
      <c r="A1131" s="187">
        <f>A1051</f>
        <v>101</v>
      </c>
      <c r="B1131" s="174" t="str">
        <f>B548</f>
        <v>Negative</v>
      </c>
      <c r="C1131" s="174">
        <f>IF(B1131="Positive",INPUT!AG77,INPUT!AD77)</f>
        <v>2</v>
      </c>
      <c r="D1131" s="191">
        <f>IF(B1131="Positive",IF(INPUT!AG77=0,0,(INPUT!U77-INPUT!AG77*INPUT!AH77)/(INPUT!AG77+1)),IF(INPUT!AD77=0,0,(INPUT!K77-2*INPUT!M77-INPUT!AD77*INPUT!AE77)/(INPUT!AD77+1)))</f>
        <v>558.7770783930888</v>
      </c>
      <c r="E1131" s="174">
        <f>IF(B1131="Positive",D891,F891)</f>
        <v>12</v>
      </c>
      <c r="F1131" s="174">
        <f>IF(B1131="Positive",C891,E891)</f>
        <v>1936.3312351792665</v>
      </c>
      <c r="G1131" s="191">
        <f>IF(D1131=0,F1131,D1131)/E1131</f>
        <v>46.5647565327574</v>
      </c>
      <c r="H1131" s="174">
        <f>IF(B1131="Positive",1/3*INPUT!AH77*INPUT!AI77^3,1/3*INPUT!AE77*INPUT!AF77^3)</f>
        <v>13653333.333333332</v>
      </c>
      <c r="I1131" s="192">
        <f>IF(D1131=0,4,MIN(MAX((IF(C1131=1,8,0.894)*H1131/D1131/E1131^3)^(1/3),1),4))</f>
        <v>2.3295102753141137</v>
      </c>
      <c r="J1131" s="192">
        <f>IF(D1131=0,5.34,MIN((5.34+2.84*(H1131/D1131/E1131^3)^(1/3))/((C1131+1)^2),5.34))</f>
        <v>1.3563979013960836</v>
      </c>
      <c r="K1131" s="191">
        <f>0.57*SQRT(INPUT!$B$2*I1131/INPUT!AO77/L971)</f>
        <v>0</v>
      </c>
      <c r="L1131" s="191">
        <f>0.95*SQRT(INPUT!$B$2*I1131/(L971-0.3)/INPUT!AO77)</f>
        <v>0</v>
      </c>
      <c r="M1131" s="184">
        <f>IF(G1131&lt;=K1131,1*L1051*INPUT!AO77*L971,IF(G1131&lt;=L1131,1*L1051*INPUT!AO77*(L971-(L971-(L971-0.3)/L1051)*(G1131-K1131)/(L1131-K1131)),0.9*INPUT!$B$2*1*I1131/G1131^2))</f>
        <v>0</v>
      </c>
      <c r="N1131" s="286">
        <f>IF(G1131&lt;=1.12*SQRT(INPUT!$B$2*J1131/INPUT!AO77),0.58*INPUT!AO77,IF(G1131&lt;=1.4*SQRT(INPUT!$B$2*J1131/INPUT!AO77),0.65*SQRT(INPUT!AO77*INPUT!$B$2*J1131)/G1131,0.9*INPUT!$B$2*J1131/G1131^2))</f>
        <v>0</v>
      </c>
    </row>
    <row r="1132">
      <c r="A1132" s="187">
        <f>A1052</f>
        <v>101</v>
      </c>
      <c r="B1132" s="174" t="str">
        <f>B549</f>
        <v>Negative</v>
      </c>
      <c r="C1132" s="174">
        <f>IF(B1132="Positive",INPUT!AG78,INPUT!AD78)</f>
        <v>2</v>
      </c>
      <c r="D1132" s="191">
        <f>IF(B1132="Positive",IF(INPUT!AG78=0,0,(INPUT!U78-INPUT!AG78*INPUT!AH78)/(INPUT!AG78+1)),IF(INPUT!AD78=0,0,(INPUT!K78-2*INPUT!M78-INPUT!AD78*INPUT!AE78)/(INPUT!AD78+1)))</f>
        <v>558.7770783930888</v>
      </c>
      <c r="E1132" s="174">
        <f>IF(B1132="Positive",D892,F892)</f>
        <v>12</v>
      </c>
      <c r="F1132" s="174">
        <f>IF(B1132="Positive",C892,E892)</f>
        <v>1936.3312351792665</v>
      </c>
      <c r="G1132" s="191">
        <f>IF(D1132=0,F1132,D1132)/E1132</f>
        <v>46.5647565327574</v>
      </c>
      <c r="H1132" s="174">
        <f>IF(B1132="Positive",1/3*INPUT!AH78*INPUT!AI78^3,1/3*INPUT!AE78*INPUT!AF78^3)</f>
        <v>13653333.333333332</v>
      </c>
      <c r="I1132" s="192">
        <f>IF(D1132=0,4,MIN(MAX((IF(C1132=1,8,0.894)*H1132/D1132/E1132^3)^(1/3),1),4))</f>
        <v>2.3295102753141137</v>
      </c>
      <c r="J1132" s="192">
        <f>IF(D1132=0,5.34,MIN((5.34+2.84*(H1132/D1132/E1132^3)^(1/3))/((C1132+1)^2),5.34))</f>
        <v>1.3563979013960836</v>
      </c>
      <c r="K1132" s="191">
        <f>0.57*SQRT(INPUT!$B$2*I1132/INPUT!AO78/L972)</f>
        <v>0</v>
      </c>
      <c r="L1132" s="191">
        <f>0.95*SQRT(INPUT!$B$2*I1132/(L972-0.3)/INPUT!AO78)</f>
        <v>0</v>
      </c>
      <c r="M1132" s="184">
        <f>IF(G1132&lt;=K1132,1*L1052*INPUT!AO78*L972,IF(G1132&lt;=L1132,1*L1052*INPUT!AO78*(L972-(L972-(L972-0.3)/L1052)*(G1132-K1132)/(L1132-K1132)),0.9*INPUT!$B$2*1*I1132/G1132^2))</f>
        <v>0</v>
      </c>
      <c r="N1132" s="286">
        <f>IF(G1132&lt;=1.12*SQRT(INPUT!$B$2*J1132/INPUT!AO78),0.58*INPUT!AO78,IF(G1132&lt;=1.4*SQRT(INPUT!$B$2*J1132/INPUT!AO78),0.65*SQRT(INPUT!AO78*INPUT!$B$2*J1132)/G1132,0.9*INPUT!$B$2*J1132/G1132^2))</f>
        <v>0</v>
      </c>
    </row>
    <row r="1133" ht="15" customHeight="1" s="4" customFormat="1">
      <c r="A1133" s="207"/>
      <c r="B1133" s="207"/>
      <c r="C1133" s="312"/>
      <c r="D1133" s="312"/>
      <c r="E1133" s="312"/>
      <c r="F1133" s="312"/>
      <c r="G1133" s="133"/>
      <c r="H1133" s="133"/>
      <c r="I1133" s="312"/>
      <c r="J1133" s="312"/>
      <c r="K1133" s="312"/>
      <c r="L1133" s="312"/>
      <c r="M1133" s="312"/>
      <c r="N1133" s="312"/>
      <c r="O1133" s="329"/>
      <c r="P1133" s="369"/>
      <c r="Q1133" s="312"/>
      <c r="R1133" s="312"/>
      <c r="S1133" s="312"/>
      <c r="T1133" s="312"/>
      <c r="U1133" s="312"/>
      <c r="V1133" s="312"/>
      <c r="W1133" s="312"/>
      <c r="X1133" s="312"/>
      <c r="Y1133" s="312"/>
      <c r="Z1133" s="312"/>
      <c r="AB1133" s="132"/>
      <c r="AC1133" s="132"/>
      <c r="AD1133" s="312"/>
      <c r="AE1133" s="207"/>
    </row>
    <row r="1134" ht="15" customHeight="1" s="4" customFormat="1">
      <c r="A1134" s="59" t="s">
        <v>939</v>
      </c>
      <c r="L1134" s="207"/>
      <c r="O1134" s="296"/>
      <c r="P1134" s="64"/>
      <c r="AB1134" s="132"/>
      <c r="AC1134" s="132"/>
      <c r="AD1134" s="312"/>
      <c r="AE1134" s="207"/>
    </row>
    <row r="1135" ht="15" customHeight="1" s="4" customFormat="1">
      <c r="A1135" s="72" t="s">
        <v>230</v>
      </c>
      <c r="B1135" s="73" t="s">
        <v>242</v>
      </c>
      <c r="C1135" s="73" t="s">
        <v>940</v>
      </c>
      <c r="D1135" s="494" t="s">
        <v>941</v>
      </c>
      <c r="E1135" s="498"/>
      <c r="F1135" s="495"/>
      <c r="G1135" s="78" t="s">
        <v>942</v>
      </c>
      <c r="H1135" s="494" t="s">
        <v>943</v>
      </c>
      <c r="I1135" s="498"/>
      <c r="J1135" s="498"/>
      <c r="K1135" s="498"/>
      <c r="L1135" s="537"/>
      <c r="O1135" s="296"/>
      <c r="P1135" s="64"/>
    </row>
    <row r="1136" ht="15" customHeight="1" s="4" customFormat="1">
      <c r="A1136" s="75"/>
      <c r="B1136" s="76" t="s">
        <v>250</v>
      </c>
      <c r="C1136" s="76"/>
      <c r="D1136" s="76" t="s">
        <v>590</v>
      </c>
      <c r="E1136" s="79" t="s">
        <v>662</v>
      </c>
      <c r="F1136" s="79" t="s">
        <v>413</v>
      </c>
      <c r="G1136" s="79"/>
      <c r="H1136" s="338" t="s">
        <v>774</v>
      </c>
      <c r="I1136" s="338" t="s">
        <v>777</v>
      </c>
      <c r="J1136" s="338" t="s">
        <v>725</v>
      </c>
      <c r="K1136" s="338" t="s">
        <v>944</v>
      </c>
      <c r="L1136" s="339" t="s">
        <v>945</v>
      </c>
      <c r="O1136" s="296"/>
      <c r="P1136" s="64"/>
    </row>
    <row r="1137" ht="15" customHeight="1">
      <c r="A1137" s="187">
        <f>A1057</f>
        <v>101</v>
      </c>
      <c r="B1137" s="174" t="str">
        <f>B1057</f>
        <v>Negative</v>
      </c>
      <c r="C1137" s="174" t="str">
        <f>IF(INPUT!H3=2,"OF","BF")</f>
        <v>OF</v>
      </c>
      <c r="D1137" s="191" t="str">
        <f>IF(B1137="Positive",IF(C1137="OF",1,L897)*1*L977*INPUT!AO3,"-")</f>
        <v>-</v>
      </c>
      <c r="E1137" s="191" t="e">
        <f>IF(B1137="Positive","-",M1057*SQRT(1-(K897/N1057)^2))</f>
        <v>#DIV/0!</v>
      </c>
      <c r="F1137" s="191" t="e">
        <f>IF(B1137="Positive",D1137,E1137)</f>
        <v>#DIV/0!</v>
      </c>
      <c r="G1137" s="191">
        <f>IF(B1137="Positive",L977*INPUT!AP3*L897,IF(C1137="OF",L977*INPUT!AO3,L977*INPUT!AO3*L897))</f>
        <v>379.50847042889387</v>
      </c>
      <c r="H1137" s="191">
        <f>E474</f>
        <v>1554.726195337154</v>
      </c>
      <c r="I1137" s="191">
        <f>IF(B1137="Positive",F817+K817+H817+I817,F817+K817+D817)</f>
        <v>2834</v>
      </c>
      <c r="J1137" s="174">
        <f>N199</f>
        <v>49150.378220967606</v>
      </c>
      <c r="K1137" s="343">
        <f>1.3*L977*M373</f>
        <v>54219.538332341341</v>
      </c>
      <c r="L1137" s="378">
        <f>MIN(IF(H1137&lt;=0.1*I1137,1,1.07-0.7*H1137/I1137)*J1137,K1137)</f>
        <v>33716.251777731406</v>
      </c>
      <c r="M1137" s="4"/>
      <c r="N1137" s="4"/>
    </row>
    <row r="1138">
      <c r="A1138" s="187">
        <f>A1058</f>
        <v>101</v>
      </c>
      <c r="B1138" s="174" t="str">
        <f>B1058</f>
        <v>Negative</v>
      </c>
      <c r="C1138" s="174" t="str">
        <f>IF(INPUT!H4=2,"OF","BF")</f>
        <v>OF</v>
      </c>
      <c r="D1138" s="191" t="str">
        <f>IF(B1138="Positive",IF(C1138="OF",1,L898)*1*L978*INPUT!AO4,"-")</f>
        <v>-</v>
      </c>
      <c r="E1138" s="191" t="e">
        <f>IF(B1138="Positive","-",M1058*SQRT(1-(K898/N1058)^2))</f>
        <v>#DIV/0!</v>
      </c>
      <c r="F1138" s="191" t="e">
        <f>IF(B1138="Positive",D1138,E1138)</f>
        <v>#DIV/0!</v>
      </c>
      <c r="G1138" s="191">
        <f>IF(B1138="Positive",L978*INPUT!AP4*L898,IF(C1138="OF",L978*INPUT!AO4,L978*INPUT!AO4*L898))</f>
        <v>379.50847042889387</v>
      </c>
      <c r="H1138" s="191">
        <f>E475</f>
        <v>1554.726195337154</v>
      </c>
      <c r="I1138" s="191">
        <f>IF(B1138="Positive",F818+K818+H818+I818,F818+K818+D818)</f>
        <v>2834</v>
      </c>
      <c r="J1138" s="174">
        <f>N200</f>
        <v>49150.378220967606</v>
      </c>
      <c r="K1138" s="343">
        <f>1.3*L978*M374</f>
        <v>54219.538332341341</v>
      </c>
      <c r="L1138" s="378">
        <f>MIN(IF(H1138&lt;=0.1*I1138,1,1.07-0.7*H1138/I1138)*J1138,K1138)</f>
        <v>33716.251777731406</v>
      </c>
      <c r="M1138" s="4"/>
      <c r="N1138" s="4"/>
    </row>
    <row r="1139">
      <c r="A1139" s="187">
        <f>A1059</f>
        <v>101</v>
      </c>
      <c r="B1139" s="174" t="str">
        <f>B1059</f>
        <v>Negative</v>
      </c>
      <c r="C1139" s="174" t="str">
        <f>IF(INPUT!H5=2,"OF","BF")</f>
        <v>OF</v>
      </c>
      <c r="D1139" s="191" t="str">
        <f>IF(B1139="Positive",IF(C1139="OF",1,L899)*1*L979*INPUT!AO5,"-")</f>
        <v>-</v>
      </c>
      <c r="E1139" s="191" t="e">
        <f>IF(B1139="Positive","-",M1059*SQRT(1-(K899/N1059)^2))</f>
        <v>#DIV/0!</v>
      </c>
      <c r="F1139" s="191" t="e">
        <f>IF(B1139="Positive",D1139,E1139)</f>
        <v>#DIV/0!</v>
      </c>
      <c r="G1139" s="191">
        <f>IF(B1139="Positive",L979*INPUT!AP5*L899,IF(C1139="OF",L979*INPUT!AO5,L979*INPUT!AO5*L899))</f>
        <v>379.50847042889387</v>
      </c>
      <c r="H1139" s="191">
        <f>E476</f>
        <v>1554.726195337154</v>
      </c>
      <c r="I1139" s="191">
        <f>IF(B1139="Positive",F819+K819+H819+I819,F819+K819+D819)</f>
        <v>2834</v>
      </c>
      <c r="J1139" s="174">
        <f>N201</f>
        <v>49150.378220967606</v>
      </c>
      <c r="K1139" s="343">
        <f>1.3*L979*M375</f>
        <v>54219.538332341341</v>
      </c>
      <c r="L1139" s="378">
        <f>MIN(IF(H1139&lt;=0.1*I1139,1,1.07-0.7*H1139/I1139)*J1139,K1139)</f>
        <v>33716.251777731406</v>
      </c>
      <c r="M1139" s="4"/>
      <c r="N1139" s="4"/>
    </row>
    <row r="1140">
      <c r="A1140" s="187">
        <f>A1060</f>
        <v>101</v>
      </c>
      <c r="B1140" s="174" t="str">
        <f>B1060</f>
        <v>Negative</v>
      </c>
      <c r="C1140" s="174" t="str">
        <f>IF(INPUT!H6=2,"OF","BF")</f>
        <v>OF</v>
      </c>
      <c r="D1140" s="191" t="str">
        <f>IF(B1140="Positive",IF(C1140="OF",1,L900)*1*L980*INPUT!AO6,"-")</f>
        <v>-</v>
      </c>
      <c r="E1140" s="191" t="e">
        <f>IF(B1140="Positive","-",M1060*SQRT(1-(K900/N1060)^2))</f>
        <v>#DIV/0!</v>
      </c>
      <c r="F1140" s="191" t="e">
        <f>IF(B1140="Positive",D1140,E1140)</f>
        <v>#DIV/0!</v>
      </c>
      <c r="G1140" s="191">
        <f>IF(B1140="Positive",L980*INPUT!AP6*L900,IF(C1140="OF",L980*INPUT!AO6,L980*INPUT!AO6*L900))</f>
        <v>379.50847042889387</v>
      </c>
      <c r="H1140" s="191">
        <f>E477</f>
        <v>1554.726195337154</v>
      </c>
      <c r="I1140" s="191">
        <f>IF(B1140="Positive",F820+K820+H820+I820,F820+K820+D820)</f>
        <v>2834</v>
      </c>
      <c r="J1140" s="174">
        <f>N202</f>
        <v>49150.378220967606</v>
      </c>
      <c r="K1140" s="343">
        <f>1.3*L980*M376</f>
        <v>54219.538332341341</v>
      </c>
      <c r="L1140" s="378">
        <f>MIN(IF(H1140&lt;=0.1*I1140,1,1.07-0.7*H1140/I1140)*J1140,K1140)</f>
        <v>33716.251777731406</v>
      </c>
      <c r="M1140" s="4"/>
      <c r="N1140" s="4"/>
    </row>
    <row r="1141">
      <c r="A1141" s="187">
        <f>A1061</f>
        <v>101</v>
      </c>
      <c r="B1141" s="174" t="str">
        <f>B1061</f>
        <v>Negative</v>
      </c>
      <c r="C1141" s="174" t="str">
        <f>IF(INPUT!H7=2,"OF","BF")</f>
        <v>OF</v>
      </c>
      <c r="D1141" s="191" t="str">
        <f>IF(B1141="Positive",IF(C1141="OF",1,L901)*1*L981*INPUT!AO7,"-")</f>
        <v>-</v>
      </c>
      <c r="E1141" s="191" t="e">
        <f>IF(B1141="Positive","-",M1061*SQRT(1-(K901/N1061)^2))</f>
        <v>#DIV/0!</v>
      </c>
      <c r="F1141" s="191" t="e">
        <f>IF(B1141="Positive",D1141,E1141)</f>
        <v>#DIV/0!</v>
      </c>
      <c r="G1141" s="191">
        <f>IF(B1141="Positive",L981*INPUT!AP7*L901,IF(C1141="OF",L981*INPUT!AO7,L981*INPUT!AO7*L901))</f>
        <v>379.50847042889387</v>
      </c>
      <c r="H1141" s="191">
        <f>E478</f>
        <v>1554.726195337154</v>
      </c>
      <c r="I1141" s="191">
        <f>IF(B1141="Positive",F821+K821+H821+I821,F821+K821+D821)</f>
        <v>2834</v>
      </c>
      <c r="J1141" s="174">
        <f>N203</f>
        <v>49150.378220967606</v>
      </c>
      <c r="K1141" s="343">
        <f>1.3*L981*M377</f>
        <v>54219.538332341341</v>
      </c>
      <c r="L1141" s="378">
        <f>MIN(IF(H1141&lt;=0.1*I1141,1,1.07-0.7*H1141/I1141)*J1141,K1141)</f>
        <v>33716.251777731406</v>
      </c>
      <c r="M1141" s="4"/>
      <c r="N1141" s="4"/>
    </row>
    <row r="1142">
      <c r="A1142" s="187">
        <f>A1062</f>
        <v>101</v>
      </c>
      <c r="B1142" s="174" t="str">
        <f>B1062</f>
        <v>Negative</v>
      </c>
      <c r="C1142" s="174" t="str">
        <f>IF(INPUT!H8=2,"OF","BF")</f>
        <v>OF</v>
      </c>
      <c r="D1142" s="191" t="str">
        <f>IF(B1142="Positive",IF(C1142="OF",1,L902)*1*L982*INPUT!AO8,"-")</f>
        <v>-</v>
      </c>
      <c r="E1142" s="191" t="e">
        <f>IF(B1142="Positive","-",M1062*SQRT(1-(K902/N1062)^2))</f>
        <v>#DIV/0!</v>
      </c>
      <c r="F1142" s="191" t="e">
        <f>IF(B1142="Positive",D1142,E1142)</f>
        <v>#DIV/0!</v>
      </c>
      <c r="G1142" s="191">
        <f>IF(B1142="Positive",L982*INPUT!AP8*L902,IF(C1142="OF",L982*INPUT!AO8,L982*INPUT!AO8*L902))</f>
        <v>379.50847042889387</v>
      </c>
      <c r="H1142" s="191">
        <f>E479</f>
        <v>1554.726195337154</v>
      </c>
      <c r="I1142" s="191">
        <f>IF(B1142="Positive",F822+K822+H822+I822,F822+K822+D822)</f>
        <v>2834</v>
      </c>
      <c r="J1142" s="174">
        <f>N204</f>
        <v>49150.378220967606</v>
      </c>
      <c r="K1142" s="343">
        <f>1.3*L982*M378</f>
        <v>54219.538332341341</v>
      </c>
      <c r="L1142" s="378">
        <f>MIN(IF(H1142&lt;=0.1*I1142,1,1.07-0.7*H1142/I1142)*J1142,K1142)</f>
        <v>33716.251777731406</v>
      </c>
      <c r="M1142" s="4"/>
      <c r="N1142" s="4"/>
    </row>
    <row r="1143">
      <c r="A1143" s="187">
        <f>A1063</f>
        <v>101</v>
      </c>
      <c r="B1143" s="174" t="str">
        <f>B1063</f>
        <v>Negative</v>
      </c>
      <c r="C1143" s="174" t="str">
        <f>IF(INPUT!H9=2,"OF","BF")</f>
        <v>OF</v>
      </c>
      <c r="D1143" s="191" t="str">
        <f>IF(B1143="Positive",IF(C1143="OF",1,L903)*1*L983*INPUT!AO9,"-")</f>
        <v>-</v>
      </c>
      <c r="E1143" s="191" t="e">
        <f>IF(B1143="Positive","-",M1063*SQRT(1-(K903/N1063)^2))</f>
        <v>#DIV/0!</v>
      </c>
      <c r="F1143" s="191" t="e">
        <f>IF(B1143="Positive",D1143,E1143)</f>
        <v>#DIV/0!</v>
      </c>
      <c r="G1143" s="191">
        <f>IF(B1143="Positive",L983*INPUT!AP9*L903,IF(C1143="OF",L983*INPUT!AO9,L983*INPUT!AO9*L903))</f>
        <v>379.50847042889387</v>
      </c>
      <c r="H1143" s="191">
        <f>E480</f>
        <v>1554.726195337154</v>
      </c>
      <c r="I1143" s="191">
        <f>IF(B1143="Positive",F823+K823+H823+I823,F823+K823+D823)</f>
        <v>2834</v>
      </c>
      <c r="J1143" s="174">
        <f>N205</f>
        <v>49150.378220967606</v>
      </c>
      <c r="K1143" s="343">
        <f>1.3*L983*M379</f>
        <v>54219.538332341341</v>
      </c>
      <c r="L1143" s="378">
        <f>MIN(IF(H1143&lt;=0.1*I1143,1,1.07-0.7*H1143/I1143)*J1143,K1143)</f>
        <v>33716.251777731406</v>
      </c>
      <c r="M1143" s="4"/>
      <c r="N1143" s="4"/>
    </row>
    <row r="1144">
      <c r="A1144" s="187">
        <f>A1064</f>
        <v>101</v>
      </c>
      <c r="B1144" s="174" t="str">
        <f>B1064</f>
        <v>Negative</v>
      </c>
      <c r="C1144" s="174" t="str">
        <f>IF(INPUT!H10=2,"OF","BF")</f>
        <v>OF</v>
      </c>
      <c r="D1144" s="191" t="str">
        <f>IF(B1144="Positive",IF(C1144="OF",1,L904)*1*L984*INPUT!AO10,"-")</f>
        <v>-</v>
      </c>
      <c r="E1144" s="191" t="e">
        <f>IF(B1144="Positive","-",M1064*SQRT(1-(K904/N1064)^2))</f>
        <v>#DIV/0!</v>
      </c>
      <c r="F1144" s="191" t="e">
        <f>IF(B1144="Positive",D1144,E1144)</f>
        <v>#DIV/0!</v>
      </c>
      <c r="G1144" s="191">
        <f>IF(B1144="Positive",L984*INPUT!AP10*L904,IF(C1144="OF",L984*INPUT!AO10,L984*INPUT!AO10*L904))</f>
        <v>379.50847042889387</v>
      </c>
      <c r="H1144" s="191">
        <f>E481</f>
        <v>1554.726195337154</v>
      </c>
      <c r="I1144" s="191">
        <f>IF(B1144="Positive",F824+K824+H824+I824,F824+K824+D824)</f>
        <v>2834</v>
      </c>
      <c r="J1144" s="174">
        <f>N206</f>
        <v>49150.378220967606</v>
      </c>
      <c r="K1144" s="343">
        <f>1.3*L984*M380</f>
        <v>54219.538332341341</v>
      </c>
      <c r="L1144" s="378">
        <f>MIN(IF(H1144&lt;=0.1*I1144,1,1.07-0.7*H1144/I1144)*J1144,K1144)</f>
        <v>33716.251777731406</v>
      </c>
      <c r="M1144" s="4"/>
      <c r="N1144" s="4"/>
    </row>
    <row r="1145">
      <c r="A1145" s="187">
        <f>A1065</f>
        <v>101</v>
      </c>
      <c r="B1145" s="174" t="str">
        <f>B1065</f>
        <v>Negative</v>
      </c>
      <c r="C1145" s="174" t="str">
        <f>IF(INPUT!H11=2,"OF","BF")</f>
        <v>OF</v>
      </c>
      <c r="D1145" s="191" t="str">
        <f>IF(B1145="Positive",IF(C1145="OF",1,L905)*1*L985*INPUT!AO11,"-")</f>
        <v>-</v>
      </c>
      <c r="E1145" s="191" t="e">
        <f>IF(B1145="Positive","-",M1065*SQRT(1-(K905/N1065)^2))</f>
        <v>#DIV/0!</v>
      </c>
      <c r="F1145" s="191" t="e">
        <f>IF(B1145="Positive",D1145,E1145)</f>
        <v>#DIV/0!</v>
      </c>
      <c r="G1145" s="191">
        <f>IF(B1145="Positive",L985*INPUT!AP11*L905,IF(C1145="OF",L985*INPUT!AO11,L985*INPUT!AO11*L905))</f>
        <v>379.50847042889387</v>
      </c>
      <c r="H1145" s="191">
        <f>E482</f>
        <v>1554.726195337154</v>
      </c>
      <c r="I1145" s="191">
        <f>IF(B1145="Positive",F825+K825+H825+I825,F825+K825+D825)</f>
        <v>2834</v>
      </c>
      <c r="J1145" s="174">
        <f>N207</f>
        <v>49150.378220967606</v>
      </c>
      <c r="K1145" s="343">
        <f>1.3*L985*M381</f>
        <v>54219.538332341341</v>
      </c>
      <c r="L1145" s="378">
        <f>MIN(IF(H1145&lt;=0.1*I1145,1,1.07-0.7*H1145/I1145)*J1145,K1145)</f>
        <v>33716.251777731406</v>
      </c>
      <c r="M1145" s="4"/>
      <c r="N1145" s="4"/>
    </row>
    <row r="1146">
      <c r="A1146" s="187">
        <f>A1066</f>
        <v>101</v>
      </c>
      <c r="B1146" s="174" t="str">
        <f>B1066</f>
        <v>Negative</v>
      </c>
      <c r="C1146" s="174" t="str">
        <f>IF(INPUT!H12=2,"OF","BF")</f>
        <v>OF</v>
      </c>
      <c r="D1146" s="191" t="str">
        <f>IF(B1146="Positive",IF(C1146="OF",1,L906)*1*L986*INPUT!AO12,"-")</f>
        <v>-</v>
      </c>
      <c r="E1146" s="191" t="e">
        <f>IF(B1146="Positive","-",M1066*SQRT(1-(K906/N1066)^2))</f>
        <v>#DIV/0!</v>
      </c>
      <c r="F1146" s="191" t="e">
        <f>IF(B1146="Positive",D1146,E1146)</f>
        <v>#DIV/0!</v>
      </c>
      <c r="G1146" s="191">
        <f>IF(B1146="Positive",L986*INPUT!AP12*L906,IF(C1146="OF",L986*INPUT!AO12,L986*INPUT!AO12*L906))</f>
        <v>379.50847042889387</v>
      </c>
      <c r="H1146" s="191">
        <f>E483</f>
        <v>1554.726195337154</v>
      </c>
      <c r="I1146" s="191">
        <f>IF(B1146="Positive",F826+K826+H826+I826,F826+K826+D826)</f>
        <v>2834</v>
      </c>
      <c r="J1146" s="174">
        <f>N208</f>
        <v>49150.378220967606</v>
      </c>
      <c r="K1146" s="343">
        <f>1.3*L986*M382</f>
        <v>54219.538332341341</v>
      </c>
      <c r="L1146" s="378">
        <f>MIN(IF(H1146&lt;=0.1*I1146,1,1.07-0.7*H1146/I1146)*J1146,K1146)</f>
        <v>33716.251777731406</v>
      </c>
      <c r="M1146" s="4"/>
      <c r="N1146" s="4"/>
    </row>
    <row r="1147">
      <c r="A1147" s="187">
        <f>A1067</f>
        <v>101</v>
      </c>
      <c r="B1147" s="174" t="str">
        <f>B1067</f>
        <v>Negative</v>
      </c>
      <c r="C1147" s="174" t="str">
        <f>IF(INPUT!H13=2,"OF","BF")</f>
        <v>OF</v>
      </c>
      <c r="D1147" s="191" t="str">
        <f>IF(B1147="Positive",IF(C1147="OF",1,L907)*1*L987*INPUT!AO13,"-")</f>
        <v>-</v>
      </c>
      <c r="E1147" s="191" t="e">
        <f>IF(B1147="Positive","-",M1067*SQRT(1-(K907/N1067)^2))</f>
        <v>#DIV/0!</v>
      </c>
      <c r="F1147" s="191" t="e">
        <f>IF(B1147="Positive",D1147,E1147)</f>
        <v>#DIV/0!</v>
      </c>
      <c r="G1147" s="191">
        <f>IF(B1147="Positive",L987*INPUT!AP13*L907,IF(C1147="OF",L987*INPUT!AO13,L987*INPUT!AO13*L907))</f>
        <v>379.50847042889387</v>
      </c>
      <c r="H1147" s="191">
        <f>E484</f>
        <v>1554.726195337154</v>
      </c>
      <c r="I1147" s="191">
        <f>IF(B1147="Positive",F827+K827+H827+I827,F827+K827+D827)</f>
        <v>2834</v>
      </c>
      <c r="J1147" s="174">
        <f>N209</f>
        <v>49150.378220967606</v>
      </c>
      <c r="K1147" s="343">
        <f>1.3*L987*M383</f>
        <v>54219.538332341341</v>
      </c>
      <c r="L1147" s="378">
        <f>MIN(IF(H1147&lt;=0.1*I1147,1,1.07-0.7*H1147/I1147)*J1147,K1147)</f>
        <v>33716.251777731406</v>
      </c>
      <c r="M1147" s="4"/>
      <c r="N1147" s="4"/>
    </row>
    <row r="1148">
      <c r="A1148" s="187">
        <f>A1068</f>
        <v>101</v>
      </c>
      <c r="B1148" s="174" t="str">
        <f>B1068</f>
        <v>Negative</v>
      </c>
      <c r="C1148" s="174" t="str">
        <f>IF(INPUT!H14=2,"OF","BF")</f>
        <v>OF</v>
      </c>
      <c r="D1148" s="191" t="str">
        <f>IF(B1148="Positive",IF(C1148="OF",1,L908)*1*L988*INPUT!AO14,"-")</f>
        <v>-</v>
      </c>
      <c r="E1148" s="191" t="e">
        <f>IF(B1148="Positive","-",M1068*SQRT(1-(K908/N1068)^2))</f>
        <v>#DIV/0!</v>
      </c>
      <c r="F1148" s="191" t="e">
        <f>IF(B1148="Positive",D1148,E1148)</f>
        <v>#DIV/0!</v>
      </c>
      <c r="G1148" s="191">
        <f>IF(B1148="Positive",L988*INPUT!AP14*L908,IF(C1148="OF",L988*INPUT!AO14,L988*INPUT!AO14*L908))</f>
        <v>379.50847042889387</v>
      </c>
      <c r="H1148" s="191">
        <f>E485</f>
        <v>1554.726195337154</v>
      </c>
      <c r="I1148" s="191">
        <f>IF(B1148="Positive",F828+K828+H828+I828,F828+K828+D828)</f>
        <v>2834</v>
      </c>
      <c r="J1148" s="174">
        <f>N210</f>
        <v>49150.378220967606</v>
      </c>
      <c r="K1148" s="343">
        <f>1.3*L988*M384</f>
        <v>54219.538332341341</v>
      </c>
      <c r="L1148" s="378">
        <f>MIN(IF(H1148&lt;=0.1*I1148,1,1.07-0.7*H1148/I1148)*J1148,K1148)</f>
        <v>33716.251777731406</v>
      </c>
      <c r="M1148" s="4"/>
      <c r="N1148" s="4"/>
    </row>
    <row r="1149">
      <c r="A1149" s="187">
        <f>A1069</f>
        <v>101</v>
      </c>
      <c r="B1149" s="174" t="str">
        <f>B1069</f>
        <v>Negative</v>
      </c>
      <c r="C1149" s="174" t="str">
        <f>IF(INPUT!H15=2,"OF","BF")</f>
        <v>OF</v>
      </c>
      <c r="D1149" s="191" t="str">
        <f>IF(B1149="Positive",IF(C1149="OF",1,L909)*1*L989*INPUT!AO15,"-")</f>
        <v>-</v>
      </c>
      <c r="E1149" s="191" t="e">
        <f>IF(B1149="Positive","-",M1069*SQRT(1-(K909/N1069)^2))</f>
        <v>#DIV/0!</v>
      </c>
      <c r="F1149" s="191" t="e">
        <f>IF(B1149="Positive",D1149,E1149)</f>
        <v>#DIV/0!</v>
      </c>
      <c r="G1149" s="191">
        <f>IF(B1149="Positive",L989*INPUT!AP15*L909,IF(C1149="OF",L989*INPUT!AO15,L989*INPUT!AO15*L909))</f>
        <v>379.50847042889387</v>
      </c>
      <c r="H1149" s="191">
        <f>E486</f>
        <v>1554.726195337154</v>
      </c>
      <c r="I1149" s="191">
        <f>IF(B1149="Positive",F829+K829+H829+I829,F829+K829+D829)</f>
        <v>2834</v>
      </c>
      <c r="J1149" s="174">
        <f>N211</f>
        <v>49150.378220967606</v>
      </c>
      <c r="K1149" s="343">
        <f>1.3*L989*M385</f>
        <v>54219.538332341341</v>
      </c>
      <c r="L1149" s="378">
        <f>MIN(IF(H1149&lt;=0.1*I1149,1,1.07-0.7*H1149/I1149)*J1149,K1149)</f>
        <v>33716.251777731406</v>
      </c>
      <c r="M1149" s="4"/>
      <c r="N1149" s="4"/>
    </row>
    <row r="1150">
      <c r="A1150" s="187">
        <f>A1070</f>
        <v>101</v>
      </c>
      <c r="B1150" s="174" t="str">
        <f>B1070</f>
        <v>Negative</v>
      </c>
      <c r="C1150" s="174" t="str">
        <f>IF(INPUT!H16=2,"OF","BF")</f>
        <v>OF</v>
      </c>
      <c r="D1150" s="191" t="str">
        <f>IF(B1150="Positive",IF(C1150="OF",1,L910)*1*L990*INPUT!AO16,"-")</f>
        <v>-</v>
      </c>
      <c r="E1150" s="191" t="e">
        <f>IF(B1150="Positive","-",M1070*SQRT(1-(K910/N1070)^2))</f>
        <v>#DIV/0!</v>
      </c>
      <c r="F1150" s="191" t="e">
        <f>IF(B1150="Positive",D1150,E1150)</f>
        <v>#DIV/0!</v>
      </c>
      <c r="G1150" s="191">
        <f>IF(B1150="Positive",L990*INPUT!AP16*L910,IF(C1150="OF",L990*INPUT!AO16,L990*INPUT!AO16*L910))</f>
        <v>379.50847042889387</v>
      </c>
      <c r="H1150" s="191">
        <f>E487</f>
        <v>1554.726195337154</v>
      </c>
      <c r="I1150" s="191">
        <f>IF(B1150="Positive",F830+K830+H830+I830,F830+K830+D830)</f>
        <v>2834</v>
      </c>
      <c r="J1150" s="174">
        <f>N212</f>
        <v>49150.378220967606</v>
      </c>
      <c r="K1150" s="343">
        <f>1.3*L990*M386</f>
        <v>54219.538332341341</v>
      </c>
      <c r="L1150" s="378">
        <f>MIN(IF(H1150&lt;=0.1*I1150,1,1.07-0.7*H1150/I1150)*J1150,K1150)</f>
        <v>33716.251777731406</v>
      </c>
      <c r="M1150" s="4"/>
      <c r="N1150" s="4"/>
    </row>
    <row r="1151">
      <c r="A1151" s="187">
        <f>A1071</f>
        <v>101</v>
      </c>
      <c r="B1151" s="174" t="str">
        <f>B1071</f>
        <v>Negative</v>
      </c>
      <c r="C1151" s="174" t="str">
        <f>IF(INPUT!H17=2,"OF","BF")</f>
        <v>OF</v>
      </c>
      <c r="D1151" s="191" t="str">
        <f>IF(B1151="Positive",IF(C1151="OF",1,L911)*1*L991*INPUT!AO17,"-")</f>
        <v>-</v>
      </c>
      <c r="E1151" s="191" t="e">
        <f>IF(B1151="Positive","-",M1071*SQRT(1-(K911/N1071)^2))</f>
        <v>#DIV/0!</v>
      </c>
      <c r="F1151" s="191" t="e">
        <f>IF(B1151="Positive",D1151,E1151)</f>
        <v>#DIV/0!</v>
      </c>
      <c r="G1151" s="191">
        <f>IF(B1151="Positive",L991*INPUT!AP17*L911,IF(C1151="OF",L991*INPUT!AO17,L991*INPUT!AO17*L911))</f>
        <v>379.50847042889387</v>
      </c>
      <c r="H1151" s="191">
        <f>E488</f>
        <v>1554.726195337154</v>
      </c>
      <c r="I1151" s="191">
        <f>IF(B1151="Positive",F831+K831+H831+I831,F831+K831+D831)</f>
        <v>2834</v>
      </c>
      <c r="J1151" s="174">
        <f>N213</f>
        <v>49150.378220967606</v>
      </c>
      <c r="K1151" s="343">
        <f>1.3*L991*M387</f>
        <v>54219.538332341341</v>
      </c>
      <c r="L1151" s="378">
        <f>MIN(IF(H1151&lt;=0.1*I1151,1,1.07-0.7*H1151/I1151)*J1151,K1151)</f>
        <v>33716.251777731406</v>
      </c>
      <c r="M1151" s="4"/>
      <c r="N1151" s="4"/>
    </row>
    <row r="1152">
      <c r="A1152" s="187">
        <f>A1072</f>
        <v>101</v>
      </c>
      <c r="B1152" s="174" t="str">
        <f>B1072</f>
        <v>Negative</v>
      </c>
      <c r="C1152" s="174" t="str">
        <f>IF(INPUT!H18=2,"OF","BF")</f>
        <v>OF</v>
      </c>
      <c r="D1152" s="191" t="str">
        <f>IF(B1152="Positive",IF(C1152="OF",1,L912)*1*L992*INPUT!AO18,"-")</f>
        <v>-</v>
      </c>
      <c r="E1152" s="191" t="e">
        <f>IF(B1152="Positive","-",M1072*SQRT(1-(K912/N1072)^2))</f>
        <v>#DIV/0!</v>
      </c>
      <c r="F1152" s="191" t="e">
        <f>IF(B1152="Positive",D1152,E1152)</f>
        <v>#DIV/0!</v>
      </c>
      <c r="G1152" s="191">
        <f>IF(B1152="Positive",L992*INPUT!AP18*L912,IF(C1152="OF",L992*INPUT!AO18,L992*INPUT!AO18*L912))</f>
        <v>379.50847042889387</v>
      </c>
      <c r="H1152" s="191">
        <f>E489</f>
        <v>1554.726195337154</v>
      </c>
      <c r="I1152" s="191">
        <f>IF(B1152="Positive",F832+K832+H832+I832,F832+K832+D832)</f>
        <v>2834</v>
      </c>
      <c r="J1152" s="174">
        <f>N214</f>
        <v>49150.378220967606</v>
      </c>
      <c r="K1152" s="343">
        <f>1.3*L992*M388</f>
        <v>54219.538332341341</v>
      </c>
      <c r="L1152" s="378">
        <f>MIN(IF(H1152&lt;=0.1*I1152,1,1.07-0.7*H1152/I1152)*J1152,K1152)</f>
        <v>33716.251777731406</v>
      </c>
      <c r="M1152" s="4"/>
      <c r="N1152" s="4"/>
    </row>
    <row r="1153">
      <c r="A1153" s="187">
        <f>A1073</f>
        <v>101</v>
      </c>
      <c r="B1153" s="174" t="str">
        <f>B1073</f>
        <v>Negative</v>
      </c>
      <c r="C1153" s="174" t="str">
        <f>IF(INPUT!H19=2,"OF","BF")</f>
        <v>OF</v>
      </c>
      <c r="D1153" s="191" t="str">
        <f>IF(B1153="Positive",IF(C1153="OF",1,L913)*1*L993*INPUT!AO19,"-")</f>
        <v>-</v>
      </c>
      <c r="E1153" s="191" t="e">
        <f>IF(B1153="Positive","-",M1073*SQRT(1-(K913/N1073)^2))</f>
        <v>#DIV/0!</v>
      </c>
      <c r="F1153" s="191" t="e">
        <f>IF(B1153="Positive",D1153,E1153)</f>
        <v>#DIV/0!</v>
      </c>
      <c r="G1153" s="191">
        <f>IF(B1153="Positive",L993*INPUT!AP19*L913,IF(C1153="OF",L993*INPUT!AO19,L993*INPUT!AO19*L913))</f>
        <v>379.50847042889387</v>
      </c>
      <c r="H1153" s="191">
        <f>E490</f>
        <v>1554.726195337154</v>
      </c>
      <c r="I1153" s="191">
        <f>IF(B1153="Positive",F833+K833+H833+I833,F833+K833+D833)</f>
        <v>2834</v>
      </c>
      <c r="J1153" s="174">
        <f>N215</f>
        <v>49150.378220967606</v>
      </c>
      <c r="K1153" s="343">
        <f>1.3*L993*M389</f>
        <v>54219.538332341341</v>
      </c>
      <c r="L1153" s="378">
        <f>MIN(IF(H1153&lt;=0.1*I1153,1,1.07-0.7*H1153/I1153)*J1153,K1153)</f>
        <v>33716.251777731406</v>
      </c>
      <c r="M1153" s="4"/>
      <c r="N1153" s="4"/>
    </row>
    <row r="1154">
      <c r="A1154" s="187">
        <f>A1074</f>
        <v>101</v>
      </c>
      <c r="B1154" s="174" t="str">
        <f>B1074</f>
        <v>Negative</v>
      </c>
      <c r="C1154" s="174" t="str">
        <f>IF(INPUT!H20=2,"OF","BF")</f>
        <v>OF</v>
      </c>
      <c r="D1154" s="191" t="str">
        <f>IF(B1154="Positive",IF(C1154="OF",1,L914)*1*L994*INPUT!AO20,"-")</f>
        <v>-</v>
      </c>
      <c r="E1154" s="191" t="e">
        <f>IF(B1154="Positive","-",M1074*SQRT(1-(K914/N1074)^2))</f>
        <v>#DIV/0!</v>
      </c>
      <c r="F1154" s="191" t="e">
        <f>IF(B1154="Positive",D1154,E1154)</f>
        <v>#DIV/0!</v>
      </c>
      <c r="G1154" s="191">
        <f>IF(B1154="Positive",L994*INPUT!AP20*L914,IF(C1154="OF",L994*INPUT!AO20,L994*INPUT!AO20*L914))</f>
        <v>379.50847042889387</v>
      </c>
      <c r="H1154" s="191">
        <f>E491</f>
        <v>1554.726195337154</v>
      </c>
      <c r="I1154" s="191">
        <f>IF(B1154="Positive",F834+K834+H834+I834,F834+K834+D834)</f>
        <v>2834</v>
      </c>
      <c r="J1154" s="174">
        <f>N216</f>
        <v>49150.378220967606</v>
      </c>
      <c r="K1154" s="343">
        <f>1.3*L994*M390</f>
        <v>54219.538332341341</v>
      </c>
      <c r="L1154" s="378">
        <f>MIN(IF(H1154&lt;=0.1*I1154,1,1.07-0.7*H1154/I1154)*J1154,K1154)</f>
        <v>33716.251777731406</v>
      </c>
      <c r="M1154" s="4"/>
      <c r="N1154" s="4"/>
    </row>
    <row r="1155">
      <c r="A1155" s="187">
        <f>A1075</f>
        <v>101</v>
      </c>
      <c r="B1155" s="174" t="str">
        <f>B1075</f>
        <v>Negative</v>
      </c>
      <c r="C1155" s="174" t="str">
        <f>IF(INPUT!H21=2,"OF","BF")</f>
        <v>OF</v>
      </c>
      <c r="D1155" s="191" t="str">
        <f>IF(B1155="Positive",IF(C1155="OF",1,L915)*1*L995*INPUT!AO21,"-")</f>
        <v>-</v>
      </c>
      <c r="E1155" s="191" t="e">
        <f>IF(B1155="Positive","-",M1075*SQRT(1-(K915/N1075)^2))</f>
        <v>#DIV/0!</v>
      </c>
      <c r="F1155" s="191" t="e">
        <f>IF(B1155="Positive",D1155,E1155)</f>
        <v>#DIV/0!</v>
      </c>
      <c r="G1155" s="191">
        <f>IF(B1155="Positive",L995*INPUT!AP21*L915,IF(C1155="OF",L995*INPUT!AO21,L995*INPUT!AO21*L915))</f>
        <v>379.50847042889387</v>
      </c>
      <c r="H1155" s="191">
        <f>E492</f>
        <v>1554.726195337154</v>
      </c>
      <c r="I1155" s="191">
        <f>IF(B1155="Positive",F835+K835+H835+I835,F835+K835+D835)</f>
        <v>2834</v>
      </c>
      <c r="J1155" s="174">
        <f>N217</f>
        <v>49150.378220967606</v>
      </c>
      <c r="K1155" s="343">
        <f>1.3*L995*M391</f>
        <v>54219.538332341341</v>
      </c>
      <c r="L1155" s="378">
        <f>MIN(IF(H1155&lt;=0.1*I1155,1,1.07-0.7*H1155/I1155)*J1155,K1155)</f>
        <v>33716.251777731406</v>
      </c>
      <c r="M1155" s="4"/>
      <c r="N1155" s="4"/>
    </row>
    <row r="1156">
      <c r="A1156" s="187">
        <f>A1076</f>
        <v>101</v>
      </c>
      <c r="B1156" s="174" t="str">
        <f>B1076</f>
        <v>Negative</v>
      </c>
      <c r="C1156" s="174" t="str">
        <f>IF(INPUT!H22=2,"OF","BF")</f>
        <v>OF</v>
      </c>
      <c r="D1156" s="191" t="str">
        <f>IF(B1156="Positive",IF(C1156="OF",1,L916)*1*L996*INPUT!AO22,"-")</f>
        <v>-</v>
      </c>
      <c r="E1156" s="191" t="e">
        <f>IF(B1156="Positive","-",M1076*SQRT(1-(K916/N1076)^2))</f>
        <v>#DIV/0!</v>
      </c>
      <c r="F1156" s="191" t="e">
        <f>IF(B1156="Positive",D1156,E1156)</f>
        <v>#DIV/0!</v>
      </c>
      <c r="G1156" s="191">
        <f>IF(B1156="Positive",L996*INPUT!AP22*L916,IF(C1156="OF",L996*INPUT!AO22,L996*INPUT!AO22*L916))</f>
        <v>379.50847042889387</v>
      </c>
      <c r="H1156" s="191">
        <f>E493</f>
        <v>1554.726195337154</v>
      </c>
      <c r="I1156" s="191">
        <f>IF(B1156="Positive",F836+K836+H836+I836,F836+K836+D836)</f>
        <v>2834</v>
      </c>
      <c r="J1156" s="174">
        <f>N218</f>
        <v>49150.378220967606</v>
      </c>
      <c r="K1156" s="343">
        <f>1.3*L996*M392</f>
        <v>54219.538332341341</v>
      </c>
      <c r="L1156" s="378">
        <f>MIN(IF(H1156&lt;=0.1*I1156,1,1.07-0.7*H1156/I1156)*J1156,K1156)</f>
        <v>33716.251777731406</v>
      </c>
      <c r="M1156" s="4"/>
      <c r="N1156" s="4"/>
    </row>
    <row r="1157">
      <c r="A1157" s="187">
        <f>A1077</f>
        <v>101</v>
      </c>
      <c r="B1157" s="174" t="str">
        <f>B1077</f>
        <v>Negative</v>
      </c>
      <c r="C1157" s="174" t="str">
        <f>IF(INPUT!H23=2,"OF","BF")</f>
        <v>OF</v>
      </c>
      <c r="D1157" s="191" t="str">
        <f>IF(B1157="Positive",IF(C1157="OF",1,L917)*1*L997*INPUT!AO23,"-")</f>
        <v>-</v>
      </c>
      <c r="E1157" s="191" t="e">
        <f>IF(B1157="Positive","-",M1077*SQRT(1-(K917/N1077)^2))</f>
        <v>#DIV/0!</v>
      </c>
      <c r="F1157" s="191" t="e">
        <f>IF(B1157="Positive",D1157,E1157)</f>
        <v>#DIV/0!</v>
      </c>
      <c r="G1157" s="191">
        <f>IF(B1157="Positive",L997*INPUT!AP23*L917,IF(C1157="OF",L997*INPUT!AO23,L997*INPUT!AO23*L917))</f>
        <v>379.50847042889387</v>
      </c>
      <c r="H1157" s="191">
        <f>E494</f>
        <v>1554.726195337154</v>
      </c>
      <c r="I1157" s="191">
        <f>IF(B1157="Positive",F837+K837+H837+I837,F837+K837+D837)</f>
        <v>2834</v>
      </c>
      <c r="J1157" s="174">
        <f>N219</f>
        <v>49150.378220967606</v>
      </c>
      <c r="K1157" s="343">
        <f>1.3*L997*M393</f>
        <v>54219.538332341341</v>
      </c>
      <c r="L1157" s="378">
        <f>MIN(IF(H1157&lt;=0.1*I1157,1,1.07-0.7*H1157/I1157)*J1157,K1157)</f>
        <v>33716.251777731406</v>
      </c>
      <c r="M1157" s="4"/>
      <c r="N1157" s="4"/>
    </row>
    <row r="1158">
      <c r="A1158" s="187">
        <f>A1078</f>
        <v>101</v>
      </c>
      <c r="B1158" s="174" t="str">
        <f>B1078</f>
        <v>Negative</v>
      </c>
      <c r="C1158" s="174" t="str">
        <f>IF(INPUT!H24=2,"OF","BF")</f>
        <v>OF</v>
      </c>
      <c r="D1158" s="191" t="str">
        <f>IF(B1158="Positive",IF(C1158="OF",1,L918)*1*L998*INPUT!AO24,"-")</f>
        <v>-</v>
      </c>
      <c r="E1158" s="191" t="e">
        <f>IF(B1158="Positive","-",M1078*SQRT(1-(K918/N1078)^2))</f>
        <v>#DIV/0!</v>
      </c>
      <c r="F1158" s="191" t="e">
        <f>IF(B1158="Positive",D1158,E1158)</f>
        <v>#DIV/0!</v>
      </c>
      <c r="G1158" s="191">
        <f>IF(B1158="Positive",L998*INPUT!AP24*L918,IF(C1158="OF",L998*INPUT!AO24,L998*INPUT!AO24*L918))</f>
        <v>379.50847042889387</v>
      </c>
      <c r="H1158" s="191">
        <f>E495</f>
        <v>1554.726195337154</v>
      </c>
      <c r="I1158" s="191">
        <f>IF(B1158="Positive",F838+K838+H838+I838,F838+K838+D838)</f>
        <v>2834</v>
      </c>
      <c r="J1158" s="174">
        <f>N220</f>
        <v>49150.378220967606</v>
      </c>
      <c r="K1158" s="343">
        <f>1.3*L998*M394</f>
        <v>54219.538332341341</v>
      </c>
      <c r="L1158" s="378">
        <f>MIN(IF(H1158&lt;=0.1*I1158,1,1.07-0.7*H1158/I1158)*J1158,K1158)</f>
        <v>33716.251777731406</v>
      </c>
      <c r="M1158" s="4"/>
      <c r="N1158" s="4"/>
    </row>
    <row r="1159">
      <c r="A1159" s="187">
        <f>A1079</f>
        <v>101</v>
      </c>
      <c r="B1159" s="174" t="str">
        <f>B1079</f>
        <v>Negative</v>
      </c>
      <c r="C1159" s="174" t="str">
        <f>IF(INPUT!H25=2,"OF","BF")</f>
        <v>OF</v>
      </c>
      <c r="D1159" s="191" t="str">
        <f>IF(B1159="Positive",IF(C1159="OF",1,L919)*1*L999*INPUT!AO25,"-")</f>
        <v>-</v>
      </c>
      <c r="E1159" s="191" t="e">
        <f>IF(B1159="Positive","-",M1079*SQRT(1-(K919/N1079)^2))</f>
        <v>#DIV/0!</v>
      </c>
      <c r="F1159" s="191" t="e">
        <f>IF(B1159="Positive",D1159,E1159)</f>
        <v>#DIV/0!</v>
      </c>
      <c r="G1159" s="191">
        <f>IF(B1159="Positive",L999*INPUT!AP25*L919,IF(C1159="OF",L999*INPUT!AO25,L999*INPUT!AO25*L919))</f>
        <v>379.50847042889387</v>
      </c>
      <c r="H1159" s="191">
        <f>E496</f>
        <v>1554.726195337154</v>
      </c>
      <c r="I1159" s="191">
        <f>IF(B1159="Positive",F839+K839+H839+I839,F839+K839+D839)</f>
        <v>2834</v>
      </c>
      <c r="J1159" s="174">
        <f>N221</f>
        <v>49150.378220967606</v>
      </c>
      <c r="K1159" s="343">
        <f>1.3*L999*M395</f>
        <v>54219.538332341341</v>
      </c>
      <c r="L1159" s="378">
        <f>MIN(IF(H1159&lt;=0.1*I1159,1,1.07-0.7*H1159/I1159)*J1159,K1159)</f>
        <v>33716.251777731406</v>
      </c>
      <c r="M1159" s="4"/>
      <c r="N1159" s="4"/>
    </row>
    <row r="1160">
      <c r="A1160" s="187">
        <f>A1080</f>
        <v>101</v>
      </c>
      <c r="B1160" s="174" t="str">
        <f>B1080</f>
        <v>Negative</v>
      </c>
      <c r="C1160" s="174" t="str">
        <f>IF(INPUT!H26=2,"OF","BF")</f>
        <v>OF</v>
      </c>
      <c r="D1160" s="191" t="str">
        <f>IF(B1160="Positive",IF(C1160="OF",1,L920)*1*L1000*INPUT!AO26,"-")</f>
        <v>-</v>
      </c>
      <c r="E1160" s="191" t="e">
        <f>IF(B1160="Positive","-",M1080*SQRT(1-(K920/N1080)^2))</f>
        <v>#DIV/0!</v>
      </c>
      <c r="F1160" s="191" t="e">
        <f>IF(B1160="Positive",D1160,E1160)</f>
        <v>#DIV/0!</v>
      </c>
      <c r="G1160" s="191">
        <f>IF(B1160="Positive",L1000*INPUT!AP26*L920,IF(C1160="OF",L1000*INPUT!AO26,L1000*INPUT!AO26*L920))</f>
        <v>379.50847042889387</v>
      </c>
      <c r="H1160" s="191">
        <f>E497</f>
        <v>1554.726195337154</v>
      </c>
      <c r="I1160" s="191">
        <f>IF(B1160="Positive",F840+K840+H840+I840,F840+K840+D840)</f>
        <v>2834</v>
      </c>
      <c r="J1160" s="174">
        <f>N222</f>
        <v>49150.378220967606</v>
      </c>
      <c r="K1160" s="343">
        <f>1.3*L1000*M396</f>
        <v>54219.538332341341</v>
      </c>
      <c r="L1160" s="378">
        <f>MIN(IF(H1160&lt;=0.1*I1160,1,1.07-0.7*H1160/I1160)*J1160,K1160)</f>
        <v>33716.251777731406</v>
      </c>
      <c r="M1160" s="4"/>
      <c r="N1160" s="4"/>
    </row>
    <row r="1161">
      <c r="A1161" s="187">
        <f>A1081</f>
        <v>101</v>
      </c>
      <c r="B1161" s="174" t="str">
        <f>B1081</f>
        <v>Negative</v>
      </c>
      <c r="C1161" s="174" t="str">
        <f>IF(INPUT!H27=2,"OF","BF")</f>
        <v>OF</v>
      </c>
      <c r="D1161" s="191" t="str">
        <f>IF(B1161="Positive",IF(C1161="OF",1,L921)*1*L1001*INPUT!AO27,"-")</f>
        <v>-</v>
      </c>
      <c r="E1161" s="191" t="e">
        <f>IF(B1161="Positive","-",M1081*SQRT(1-(K921/N1081)^2))</f>
        <v>#DIV/0!</v>
      </c>
      <c r="F1161" s="191" t="e">
        <f>IF(B1161="Positive",D1161,E1161)</f>
        <v>#DIV/0!</v>
      </c>
      <c r="G1161" s="191">
        <f>IF(B1161="Positive",L1001*INPUT!AP27*L921,IF(C1161="OF",L1001*INPUT!AO27,L1001*INPUT!AO27*L921))</f>
        <v>379.50847042889387</v>
      </c>
      <c r="H1161" s="191">
        <f>E498</f>
        <v>1554.726195337154</v>
      </c>
      <c r="I1161" s="191">
        <f>IF(B1161="Positive",F841+K841+H841+I841,F841+K841+D841)</f>
        <v>2834</v>
      </c>
      <c r="J1161" s="174">
        <f>N223</f>
        <v>49150.378220967606</v>
      </c>
      <c r="K1161" s="343">
        <f>1.3*L1001*M397</f>
        <v>54219.538332341341</v>
      </c>
      <c r="L1161" s="378">
        <f>MIN(IF(H1161&lt;=0.1*I1161,1,1.07-0.7*H1161/I1161)*J1161,K1161)</f>
        <v>33716.251777731406</v>
      </c>
      <c r="M1161" s="4"/>
      <c r="N1161" s="4"/>
    </row>
    <row r="1162">
      <c r="A1162" s="187">
        <f>A1082</f>
        <v>101</v>
      </c>
      <c r="B1162" s="174" t="str">
        <f>B1082</f>
        <v>Negative</v>
      </c>
      <c r="C1162" s="174" t="str">
        <f>IF(INPUT!H28=2,"OF","BF")</f>
        <v>OF</v>
      </c>
      <c r="D1162" s="191" t="str">
        <f>IF(B1162="Positive",IF(C1162="OF",1,L922)*1*L1002*INPUT!AO28,"-")</f>
        <v>-</v>
      </c>
      <c r="E1162" s="191" t="e">
        <f>IF(B1162="Positive","-",M1082*SQRT(1-(K922/N1082)^2))</f>
        <v>#DIV/0!</v>
      </c>
      <c r="F1162" s="191" t="e">
        <f>IF(B1162="Positive",D1162,E1162)</f>
        <v>#DIV/0!</v>
      </c>
      <c r="G1162" s="191">
        <f>IF(B1162="Positive",L1002*INPUT!AP28*L922,IF(C1162="OF",L1002*INPUT!AO28,L1002*INPUT!AO28*L922))</f>
        <v>379.50847042889387</v>
      </c>
      <c r="H1162" s="191">
        <f>E499</f>
        <v>1554.726195337154</v>
      </c>
      <c r="I1162" s="191">
        <f>IF(B1162="Positive",F842+K842+H842+I842,F842+K842+D842)</f>
        <v>2834</v>
      </c>
      <c r="J1162" s="174">
        <f>N224</f>
        <v>49150.378220967606</v>
      </c>
      <c r="K1162" s="343">
        <f>1.3*L1002*M398</f>
        <v>54219.538332341341</v>
      </c>
      <c r="L1162" s="378">
        <f>MIN(IF(H1162&lt;=0.1*I1162,1,1.07-0.7*H1162/I1162)*J1162,K1162)</f>
        <v>33716.251777731406</v>
      </c>
      <c r="M1162" s="4"/>
      <c r="N1162" s="4"/>
    </row>
    <row r="1163">
      <c r="A1163" s="187">
        <f>A1083</f>
        <v>101</v>
      </c>
      <c r="B1163" s="174" t="str">
        <f>B1083</f>
        <v>Negative</v>
      </c>
      <c r="C1163" s="174" t="str">
        <f>IF(INPUT!H29=2,"OF","BF")</f>
        <v>OF</v>
      </c>
      <c r="D1163" s="191" t="str">
        <f>IF(B1163="Positive",IF(C1163="OF",1,L923)*1*L1003*INPUT!AO29,"-")</f>
        <v>-</v>
      </c>
      <c r="E1163" s="191" t="e">
        <f>IF(B1163="Positive","-",M1083*SQRT(1-(K923/N1083)^2))</f>
        <v>#DIV/0!</v>
      </c>
      <c r="F1163" s="191" t="e">
        <f>IF(B1163="Positive",D1163,E1163)</f>
        <v>#DIV/0!</v>
      </c>
      <c r="G1163" s="191">
        <f>IF(B1163="Positive",L1003*INPUT!AP29*L923,IF(C1163="OF",L1003*INPUT!AO29,L1003*INPUT!AO29*L923))</f>
        <v>379.50847042889387</v>
      </c>
      <c r="H1163" s="191">
        <f>E500</f>
        <v>1554.726195337154</v>
      </c>
      <c r="I1163" s="191">
        <f>IF(B1163="Positive",F843+K843+H843+I843,F843+K843+D843)</f>
        <v>2834</v>
      </c>
      <c r="J1163" s="174">
        <f>N225</f>
        <v>49150.378220967606</v>
      </c>
      <c r="K1163" s="343">
        <f>1.3*L1003*M399</f>
        <v>54219.538332341341</v>
      </c>
      <c r="L1163" s="378">
        <f>MIN(IF(H1163&lt;=0.1*I1163,1,1.07-0.7*H1163/I1163)*J1163,K1163)</f>
        <v>33716.251777731406</v>
      </c>
      <c r="M1163" s="4"/>
      <c r="N1163" s="4"/>
    </row>
    <row r="1164">
      <c r="A1164" s="187">
        <f>A1084</f>
        <v>101</v>
      </c>
      <c r="B1164" s="174" t="str">
        <f>B1084</f>
        <v>Negative</v>
      </c>
      <c r="C1164" s="174" t="str">
        <f>IF(INPUT!H30=2,"OF","BF")</f>
        <v>OF</v>
      </c>
      <c r="D1164" s="191" t="str">
        <f>IF(B1164="Positive",IF(C1164="OF",1,L924)*1*L1004*INPUT!AO30,"-")</f>
        <v>-</v>
      </c>
      <c r="E1164" s="191" t="e">
        <f>IF(B1164="Positive","-",M1084*SQRT(1-(K924/N1084)^2))</f>
        <v>#DIV/0!</v>
      </c>
      <c r="F1164" s="191" t="e">
        <f>IF(B1164="Positive",D1164,E1164)</f>
        <v>#DIV/0!</v>
      </c>
      <c r="G1164" s="191">
        <f>IF(B1164="Positive",L1004*INPUT!AP30*L924,IF(C1164="OF",L1004*INPUT!AO30,L1004*INPUT!AO30*L924))</f>
        <v>379.50847042889387</v>
      </c>
      <c r="H1164" s="191">
        <f>E501</f>
        <v>1554.726195337154</v>
      </c>
      <c r="I1164" s="191">
        <f>IF(B1164="Positive",F844+K844+H844+I844,F844+K844+D844)</f>
        <v>2834</v>
      </c>
      <c r="J1164" s="174">
        <f>N226</f>
        <v>49150.378220967606</v>
      </c>
      <c r="K1164" s="343">
        <f>1.3*L1004*M400</f>
        <v>54219.538332341341</v>
      </c>
      <c r="L1164" s="378">
        <f>MIN(IF(H1164&lt;=0.1*I1164,1,1.07-0.7*H1164/I1164)*J1164,K1164)</f>
        <v>33716.251777731406</v>
      </c>
      <c r="M1164" s="4"/>
      <c r="N1164" s="4"/>
    </row>
    <row r="1165">
      <c r="A1165" s="187">
        <f>A1085</f>
        <v>101</v>
      </c>
      <c r="B1165" s="174" t="str">
        <f>B1085</f>
        <v>Negative</v>
      </c>
      <c r="C1165" s="174" t="str">
        <f>IF(INPUT!H31=2,"OF","BF")</f>
        <v>OF</v>
      </c>
      <c r="D1165" s="191" t="str">
        <f>IF(B1165="Positive",IF(C1165="OF",1,L925)*1*L1005*INPUT!AO31,"-")</f>
        <v>-</v>
      </c>
      <c r="E1165" s="191" t="e">
        <f>IF(B1165="Positive","-",M1085*SQRT(1-(K925/N1085)^2))</f>
        <v>#DIV/0!</v>
      </c>
      <c r="F1165" s="191" t="e">
        <f>IF(B1165="Positive",D1165,E1165)</f>
        <v>#DIV/0!</v>
      </c>
      <c r="G1165" s="191">
        <f>IF(B1165="Positive",L1005*INPUT!AP31*L925,IF(C1165="OF",L1005*INPUT!AO31,L1005*INPUT!AO31*L925))</f>
        <v>379.50847042889387</v>
      </c>
      <c r="H1165" s="191">
        <f>E502</f>
        <v>1554.726195337154</v>
      </c>
      <c r="I1165" s="191">
        <f>IF(B1165="Positive",F845+K845+H845+I845,F845+K845+D845)</f>
        <v>2834</v>
      </c>
      <c r="J1165" s="174">
        <f>N227</f>
        <v>49150.378220967606</v>
      </c>
      <c r="K1165" s="343">
        <f>1.3*L1005*M401</f>
        <v>54219.538332341341</v>
      </c>
      <c r="L1165" s="378">
        <f>MIN(IF(H1165&lt;=0.1*I1165,1,1.07-0.7*H1165/I1165)*J1165,K1165)</f>
        <v>33716.251777731406</v>
      </c>
      <c r="M1165" s="4"/>
      <c r="N1165" s="4"/>
    </row>
    <row r="1166">
      <c r="A1166" s="187">
        <f>A1086</f>
        <v>101</v>
      </c>
      <c r="B1166" s="174" t="str">
        <f>B1086</f>
        <v>Negative</v>
      </c>
      <c r="C1166" s="174" t="str">
        <f>IF(INPUT!H32=2,"OF","BF")</f>
        <v>OF</v>
      </c>
      <c r="D1166" s="191" t="str">
        <f>IF(B1166="Positive",IF(C1166="OF",1,L926)*1*L1006*INPUT!AO32,"-")</f>
        <v>-</v>
      </c>
      <c r="E1166" s="191" t="e">
        <f>IF(B1166="Positive","-",M1086*SQRT(1-(K926/N1086)^2))</f>
        <v>#DIV/0!</v>
      </c>
      <c r="F1166" s="191" t="e">
        <f>IF(B1166="Positive",D1166,E1166)</f>
        <v>#DIV/0!</v>
      </c>
      <c r="G1166" s="191">
        <f>IF(B1166="Positive",L1006*INPUT!AP32*L926,IF(C1166="OF",L1006*INPUT!AO32,L1006*INPUT!AO32*L926))</f>
        <v>379.50847042889387</v>
      </c>
      <c r="H1166" s="191">
        <f>E503</f>
        <v>1554.726195337154</v>
      </c>
      <c r="I1166" s="191">
        <f>IF(B1166="Positive",F846+K846+H846+I846,F846+K846+D846)</f>
        <v>2834</v>
      </c>
      <c r="J1166" s="174">
        <f>N228</f>
        <v>49150.378220967606</v>
      </c>
      <c r="K1166" s="343">
        <f>1.3*L1006*M402</f>
        <v>54219.538332341341</v>
      </c>
      <c r="L1166" s="378">
        <f>MIN(IF(H1166&lt;=0.1*I1166,1,1.07-0.7*H1166/I1166)*J1166,K1166)</f>
        <v>33716.251777731406</v>
      </c>
      <c r="M1166" s="4"/>
      <c r="N1166" s="4"/>
    </row>
    <row r="1167">
      <c r="A1167" s="187">
        <f>A1087</f>
        <v>101</v>
      </c>
      <c r="B1167" s="174" t="str">
        <f>B1087</f>
        <v>Negative</v>
      </c>
      <c r="C1167" s="174" t="str">
        <f>IF(INPUT!H33=2,"OF","BF")</f>
        <v>OF</v>
      </c>
      <c r="D1167" s="191" t="str">
        <f>IF(B1167="Positive",IF(C1167="OF",1,L927)*1*L1007*INPUT!AO33,"-")</f>
        <v>-</v>
      </c>
      <c r="E1167" s="191" t="e">
        <f>IF(B1167="Positive","-",M1087*SQRT(1-(K927/N1087)^2))</f>
        <v>#DIV/0!</v>
      </c>
      <c r="F1167" s="191" t="e">
        <f>IF(B1167="Positive",D1167,E1167)</f>
        <v>#DIV/0!</v>
      </c>
      <c r="G1167" s="191">
        <f>IF(B1167="Positive",L1007*INPUT!AP33*L927,IF(C1167="OF",L1007*INPUT!AO33,L1007*INPUT!AO33*L927))</f>
        <v>379.50847042889387</v>
      </c>
      <c r="H1167" s="191">
        <f>E504</f>
        <v>1554.726195337154</v>
      </c>
      <c r="I1167" s="191">
        <f>IF(B1167="Positive",F847+K847+H847+I847,F847+K847+D847)</f>
        <v>2834</v>
      </c>
      <c r="J1167" s="174">
        <f>N229</f>
        <v>49150.378220967606</v>
      </c>
      <c r="K1167" s="343">
        <f>1.3*L1007*M403</f>
        <v>54219.538332341341</v>
      </c>
      <c r="L1167" s="378">
        <f>MIN(IF(H1167&lt;=0.1*I1167,1,1.07-0.7*H1167/I1167)*J1167,K1167)</f>
        <v>33716.251777731406</v>
      </c>
      <c r="M1167" s="4"/>
      <c r="N1167" s="4"/>
    </row>
    <row r="1168">
      <c r="A1168" s="187">
        <f>A1088</f>
        <v>101</v>
      </c>
      <c r="B1168" s="174" t="str">
        <f>B1088</f>
        <v>Negative</v>
      </c>
      <c r="C1168" s="174" t="str">
        <f>IF(INPUT!H34=2,"OF","BF")</f>
        <v>OF</v>
      </c>
      <c r="D1168" s="191" t="str">
        <f>IF(B1168="Positive",IF(C1168="OF",1,L928)*1*L1008*INPUT!AO34,"-")</f>
        <v>-</v>
      </c>
      <c r="E1168" s="191" t="e">
        <f>IF(B1168="Positive","-",M1088*SQRT(1-(K928/N1088)^2))</f>
        <v>#DIV/0!</v>
      </c>
      <c r="F1168" s="191" t="e">
        <f>IF(B1168="Positive",D1168,E1168)</f>
        <v>#DIV/0!</v>
      </c>
      <c r="G1168" s="191">
        <f>IF(B1168="Positive",L1008*INPUT!AP34*L928,IF(C1168="OF",L1008*INPUT!AO34,L1008*INPUT!AO34*L928))</f>
        <v>379.50847042889387</v>
      </c>
      <c r="H1168" s="191">
        <f>E505</f>
        <v>1554.726195337154</v>
      </c>
      <c r="I1168" s="191">
        <f>IF(B1168="Positive",F848+K848+H848+I848,F848+K848+D848)</f>
        <v>2834</v>
      </c>
      <c r="J1168" s="174">
        <f>N230</f>
        <v>49150.378220967606</v>
      </c>
      <c r="K1168" s="343">
        <f>1.3*L1008*M404</f>
        <v>54219.538332341341</v>
      </c>
      <c r="L1168" s="378">
        <f>MIN(IF(H1168&lt;=0.1*I1168,1,1.07-0.7*H1168/I1168)*J1168,K1168)</f>
        <v>33716.251777731406</v>
      </c>
      <c r="M1168" s="4"/>
      <c r="N1168" s="4"/>
    </row>
    <row r="1169">
      <c r="A1169" s="187">
        <f>A1089</f>
        <v>101</v>
      </c>
      <c r="B1169" s="174" t="str">
        <f>B1089</f>
        <v>Negative</v>
      </c>
      <c r="C1169" s="174" t="str">
        <f>IF(INPUT!H35=2,"OF","BF")</f>
        <v>OF</v>
      </c>
      <c r="D1169" s="191" t="str">
        <f>IF(B1169="Positive",IF(C1169="OF",1,L929)*1*L1009*INPUT!AO35,"-")</f>
        <v>-</v>
      </c>
      <c r="E1169" s="191" t="e">
        <f>IF(B1169="Positive","-",M1089*SQRT(1-(K929/N1089)^2))</f>
        <v>#DIV/0!</v>
      </c>
      <c r="F1169" s="191" t="e">
        <f>IF(B1169="Positive",D1169,E1169)</f>
        <v>#DIV/0!</v>
      </c>
      <c r="G1169" s="191">
        <f>IF(B1169="Positive",L1009*INPUT!AP35*L929,IF(C1169="OF",L1009*INPUT!AO35,L1009*INPUT!AO35*L929))</f>
        <v>379.50847042889387</v>
      </c>
      <c r="H1169" s="191">
        <f>E506</f>
        <v>1554.726195337154</v>
      </c>
      <c r="I1169" s="191">
        <f>IF(B1169="Positive",F849+K849+H849+I849,F849+K849+D849)</f>
        <v>2834</v>
      </c>
      <c r="J1169" s="174">
        <f>N231</f>
        <v>49150.378220967606</v>
      </c>
      <c r="K1169" s="343">
        <f>1.3*L1009*M405</f>
        <v>54219.538332341341</v>
      </c>
      <c r="L1169" s="378">
        <f>MIN(IF(H1169&lt;=0.1*I1169,1,1.07-0.7*H1169/I1169)*J1169,K1169)</f>
        <v>33716.251777731406</v>
      </c>
      <c r="M1169" s="4"/>
      <c r="N1169" s="4"/>
    </row>
    <row r="1170">
      <c r="A1170" s="187">
        <f>A1090</f>
        <v>101</v>
      </c>
      <c r="B1170" s="174" t="str">
        <f>B1090</f>
        <v>Negative</v>
      </c>
      <c r="C1170" s="174" t="str">
        <f>IF(INPUT!H36=2,"OF","BF")</f>
        <v>OF</v>
      </c>
      <c r="D1170" s="191" t="str">
        <f>IF(B1170="Positive",IF(C1170="OF",1,L930)*1*L1010*INPUT!AO36,"-")</f>
        <v>-</v>
      </c>
      <c r="E1170" s="191" t="e">
        <f>IF(B1170="Positive","-",M1090*SQRT(1-(K930/N1090)^2))</f>
        <v>#DIV/0!</v>
      </c>
      <c r="F1170" s="191" t="e">
        <f>IF(B1170="Positive",D1170,E1170)</f>
        <v>#DIV/0!</v>
      </c>
      <c r="G1170" s="191">
        <f>IF(B1170="Positive",L1010*INPUT!AP36*L930,IF(C1170="OF",L1010*INPUT!AO36,L1010*INPUT!AO36*L930))</f>
        <v>379.50847042889387</v>
      </c>
      <c r="H1170" s="191">
        <f>E507</f>
        <v>1554.726195337154</v>
      </c>
      <c r="I1170" s="191">
        <f>IF(B1170="Positive",F850+K850+H850+I850,F850+K850+D850)</f>
        <v>2834</v>
      </c>
      <c r="J1170" s="174">
        <f>N232</f>
        <v>49150.378220967606</v>
      </c>
      <c r="K1170" s="343">
        <f>1.3*L1010*M406</f>
        <v>54219.538332341341</v>
      </c>
      <c r="L1170" s="378">
        <f>MIN(IF(H1170&lt;=0.1*I1170,1,1.07-0.7*H1170/I1170)*J1170,K1170)</f>
        <v>33716.251777731406</v>
      </c>
      <c r="M1170" s="4"/>
      <c r="N1170" s="4"/>
    </row>
    <row r="1171">
      <c r="A1171" s="187">
        <f>A1091</f>
        <v>101</v>
      </c>
      <c r="B1171" s="174" t="str">
        <f>B1091</f>
        <v>Negative</v>
      </c>
      <c r="C1171" s="174" t="str">
        <f>IF(INPUT!H37=2,"OF","BF")</f>
        <v>OF</v>
      </c>
      <c r="D1171" s="191" t="str">
        <f>IF(B1171="Positive",IF(C1171="OF",1,L931)*1*L1011*INPUT!AO37,"-")</f>
        <v>-</v>
      </c>
      <c r="E1171" s="191" t="e">
        <f>IF(B1171="Positive","-",M1091*SQRT(1-(K931/N1091)^2))</f>
        <v>#DIV/0!</v>
      </c>
      <c r="F1171" s="191" t="e">
        <f>IF(B1171="Positive",D1171,E1171)</f>
        <v>#DIV/0!</v>
      </c>
      <c r="G1171" s="191">
        <f>IF(B1171="Positive",L1011*INPUT!AP37*L931,IF(C1171="OF",L1011*INPUT!AO37,L1011*INPUT!AO37*L931))</f>
        <v>379.50847042889387</v>
      </c>
      <c r="H1171" s="191">
        <f>E508</f>
        <v>1554.726195337154</v>
      </c>
      <c r="I1171" s="191">
        <f>IF(B1171="Positive",F851+K851+H851+I851,F851+K851+D851)</f>
        <v>2834</v>
      </c>
      <c r="J1171" s="174">
        <f>N233</f>
        <v>49150.378220967606</v>
      </c>
      <c r="K1171" s="343">
        <f>1.3*L1011*M407</f>
        <v>54219.538332341341</v>
      </c>
      <c r="L1171" s="378">
        <f>MIN(IF(H1171&lt;=0.1*I1171,1,1.07-0.7*H1171/I1171)*J1171,K1171)</f>
        <v>33716.251777731406</v>
      </c>
      <c r="M1171" s="4"/>
      <c r="N1171" s="4"/>
    </row>
    <row r="1172">
      <c r="A1172" s="187">
        <f>A1092</f>
        <v>101</v>
      </c>
      <c r="B1172" s="174" t="str">
        <f>B1092</f>
        <v>Negative</v>
      </c>
      <c r="C1172" s="174" t="str">
        <f>IF(INPUT!H38=2,"OF","BF")</f>
        <v>OF</v>
      </c>
      <c r="D1172" s="191" t="str">
        <f>IF(B1172="Positive",IF(C1172="OF",1,L932)*1*L1012*INPUT!AO38,"-")</f>
        <v>-</v>
      </c>
      <c r="E1172" s="191" t="e">
        <f>IF(B1172="Positive","-",M1092*SQRT(1-(K932/N1092)^2))</f>
        <v>#DIV/0!</v>
      </c>
      <c r="F1172" s="191" t="e">
        <f>IF(B1172="Positive",D1172,E1172)</f>
        <v>#DIV/0!</v>
      </c>
      <c r="G1172" s="191">
        <f>IF(B1172="Positive",L1012*INPUT!AP38*L932,IF(C1172="OF",L1012*INPUT!AO38,L1012*INPUT!AO38*L932))</f>
        <v>379.50847042889387</v>
      </c>
      <c r="H1172" s="191">
        <f>E509</f>
        <v>1554.726195337154</v>
      </c>
      <c r="I1172" s="191">
        <f>IF(B1172="Positive",F852+K852+H852+I852,F852+K852+D852)</f>
        <v>2834</v>
      </c>
      <c r="J1172" s="174">
        <f>N234</f>
        <v>49150.378220967606</v>
      </c>
      <c r="K1172" s="343">
        <f>1.3*L1012*M408</f>
        <v>54219.538332341341</v>
      </c>
      <c r="L1172" s="378">
        <f>MIN(IF(H1172&lt;=0.1*I1172,1,1.07-0.7*H1172/I1172)*J1172,K1172)</f>
        <v>33716.251777731406</v>
      </c>
      <c r="M1172" s="4"/>
      <c r="N1172" s="4"/>
    </row>
    <row r="1173">
      <c r="A1173" s="187">
        <f>A1093</f>
        <v>101</v>
      </c>
      <c r="B1173" s="174" t="str">
        <f>B1093</f>
        <v>Negative</v>
      </c>
      <c r="C1173" s="174" t="str">
        <f>IF(INPUT!H39=2,"OF","BF")</f>
        <v>OF</v>
      </c>
      <c r="D1173" s="191" t="str">
        <f>IF(B1173="Positive",IF(C1173="OF",1,L933)*1*L1013*INPUT!AO39,"-")</f>
        <v>-</v>
      </c>
      <c r="E1173" s="191" t="e">
        <f>IF(B1173="Positive","-",M1093*SQRT(1-(K933/N1093)^2))</f>
        <v>#DIV/0!</v>
      </c>
      <c r="F1173" s="191" t="e">
        <f>IF(B1173="Positive",D1173,E1173)</f>
        <v>#DIV/0!</v>
      </c>
      <c r="G1173" s="191">
        <f>IF(B1173="Positive",L1013*INPUT!AP39*L933,IF(C1173="OF",L1013*INPUT!AO39,L1013*INPUT!AO39*L933))</f>
        <v>379.50847042889387</v>
      </c>
      <c r="H1173" s="191">
        <f>E510</f>
        <v>1554.726195337154</v>
      </c>
      <c r="I1173" s="191">
        <f>IF(B1173="Positive",F853+K853+H853+I853,F853+K853+D853)</f>
        <v>2834</v>
      </c>
      <c r="J1173" s="174">
        <f>N235</f>
        <v>49150.378220967606</v>
      </c>
      <c r="K1173" s="343">
        <f>1.3*L1013*M409</f>
        <v>54219.538332341341</v>
      </c>
      <c r="L1173" s="378">
        <f>MIN(IF(H1173&lt;=0.1*I1173,1,1.07-0.7*H1173/I1173)*J1173,K1173)</f>
        <v>33716.251777731406</v>
      </c>
      <c r="M1173" s="4"/>
      <c r="N1173" s="4"/>
    </row>
    <row r="1174">
      <c r="A1174" s="187">
        <f>A1094</f>
        <v>101</v>
      </c>
      <c r="B1174" s="174" t="str">
        <f>B1094</f>
        <v>Negative</v>
      </c>
      <c r="C1174" s="174" t="str">
        <f>IF(INPUT!H40=2,"OF","BF")</f>
        <v>OF</v>
      </c>
      <c r="D1174" s="191" t="str">
        <f>IF(B1174="Positive",IF(C1174="OF",1,L934)*1*L1014*INPUT!AO40,"-")</f>
        <v>-</v>
      </c>
      <c r="E1174" s="191" t="e">
        <f>IF(B1174="Positive","-",M1094*SQRT(1-(K934/N1094)^2))</f>
        <v>#DIV/0!</v>
      </c>
      <c r="F1174" s="191" t="e">
        <f>IF(B1174="Positive",D1174,E1174)</f>
        <v>#DIV/0!</v>
      </c>
      <c r="G1174" s="191">
        <f>IF(B1174="Positive",L1014*INPUT!AP40*L934,IF(C1174="OF",L1014*INPUT!AO40,L1014*INPUT!AO40*L934))</f>
        <v>379.50847042889387</v>
      </c>
      <c r="H1174" s="191">
        <f>E511</f>
        <v>1554.726195337154</v>
      </c>
      <c r="I1174" s="191">
        <f>IF(B1174="Positive",F854+K854+H854+I854,F854+K854+D854)</f>
        <v>2834</v>
      </c>
      <c r="J1174" s="174">
        <f>N236</f>
        <v>49150.378220967606</v>
      </c>
      <c r="K1174" s="343">
        <f>1.3*L1014*M410</f>
        <v>54219.538332341341</v>
      </c>
      <c r="L1174" s="378">
        <f>MIN(IF(H1174&lt;=0.1*I1174,1,1.07-0.7*H1174/I1174)*J1174,K1174)</f>
        <v>33716.251777731406</v>
      </c>
      <c r="M1174" s="4"/>
      <c r="N1174" s="4"/>
    </row>
    <row r="1175">
      <c r="A1175" s="187">
        <f>A1095</f>
        <v>101</v>
      </c>
      <c r="B1175" s="174" t="str">
        <f>B1095</f>
        <v>Negative</v>
      </c>
      <c r="C1175" s="174" t="str">
        <f>IF(INPUT!H41=2,"OF","BF")</f>
        <v>OF</v>
      </c>
      <c r="D1175" s="191" t="str">
        <f>IF(B1175="Positive",IF(C1175="OF",1,L935)*1*L1015*INPUT!AO41,"-")</f>
        <v>-</v>
      </c>
      <c r="E1175" s="191" t="e">
        <f>IF(B1175="Positive","-",M1095*SQRT(1-(K935/N1095)^2))</f>
        <v>#DIV/0!</v>
      </c>
      <c r="F1175" s="191" t="e">
        <f>IF(B1175="Positive",D1175,E1175)</f>
        <v>#DIV/0!</v>
      </c>
      <c r="G1175" s="191">
        <f>IF(B1175="Positive",L1015*INPUT!AP41*L935,IF(C1175="OF",L1015*INPUT!AO41,L1015*INPUT!AO41*L935))</f>
        <v>379.50847042889387</v>
      </c>
      <c r="H1175" s="191">
        <f>E512</f>
        <v>1554.726195337154</v>
      </c>
      <c r="I1175" s="191">
        <f>IF(B1175="Positive",F855+K855+H855+I855,F855+K855+D855)</f>
        <v>2834</v>
      </c>
      <c r="J1175" s="174">
        <f>N237</f>
        <v>49150.378220967606</v>
      </c>
      <c r="K1175" s="343">
        <f>1.3*L1015*M411</f>
        <v>54219.538332341341</v>
      </c>
      <c r="L1175" s="378">
        <f>MIN(IF(H1175&lt;=0.1*I1175,1,1.07-0.7*H1175/I1175)*J1175,K1175)</f>
        <v>33716.251777731406</v>
      </c>
      <c r="M1175" s="4"/>
      <c r="N1175" s="4"/>
    </row>
    <row r="1176">
      <c r="A1176" s="187">
        <f>A1096</f>
        <v>101</v>
      </c>
      <c r="B1176" s="174" t="str">
        <f>B1096</f>
        <v>Negative</v>
      </c>
      <c r="C1176" s="174" t="str">
        <f>IF(INPUT!H42=2,"OF","BF")</f>
        <v>OF</v>
      </c>
      <c r="D1176" s="191" t="str">
        <f>IF(B1176="Positive",IF(C1176="OF",1,L936)*1*L1016*INPUT!AO42,"-")</f>
        <v>-</v>
      </c>
      <c r="E1176" s="191" t="e">
        <f>IF(B1176="Positive","-",M1096*SQRT(1-(K936/N1096)^2))</f>
        <v>#DIV/0!</v>
      </c>
      <c r="F1176" s="191" t="e">
        <f>IF(B1176="Positive",D1176,E1176)</f>
        <v>#DIV/0!</v>
      </c>
      <c r="G1176" s="191">
        <f>IF(B1176="Positive",L1016*INPUT!AP42*L936,IF(C1176="OF",L1016*INPUT!AO42,L1016*INPUT!AO42*L936))</f>
        <v>379.50847042889387</v>
      </c>
      <c r="H1176" s="191">
        <f>E513</f>
        <v>1554.726195337154</v>
      </c>
      <c r="I1176" s="191">
        <f>IF(B1176="Positive",F856+K856+H856+I856,F856+K856+D856)</f>
        <v>2834</v>
      </c>
      <c r="J1176" s="174">
        <f>N238</f>
        <v>49150.378220967606</v>
      </c>
      <c r="K1176" s="343">
        <f>1.3*L1016*M412</f>
        <v>54219.538332341341</v>
      </c>
      <c r="L1176" s="378">
        <f>MIN(IF(H1176&lt;=0.1*I1176,1,1.07-0.7*H1176/I1176)*J1176,K1176)</f>
        <v>33716.251777731406</v>
      </c>
      <c r="M1176" s="4"/>
      <c r="N1176" s="4"/>
    </row>
    <row r="1177">
      <c r="A1177" s="187">
        <f>A1097</f>
        <v>101</v>
      </c>
      <c r="B1177" s="174" t="str">
        <f>B1097</f>
        <v>Negative</v>
      </c>
      <c r="C1177" s="174" t="str">
        <f>IF(INPUT!H43=2,"OF","BF")</f>
        <v>OF</v>
      </c>
      <c r="D1177" s="191" t="str">
        <f>IF(B1177="Positive",IF(C1177="OF",1,L937)*1*L1017*INPUT!AO43,"-")</f>
        <v>-</v>
      </c>
      <c r="E1177" s="191" t="e">
        <f>IF(B1177="Positive","-",M1097*SQRT(1-(K937/N1097)^2))</f>
        <v>#DIV/0!</v>
      </c>
      <c r="F1177" s="191" t="e">
        <f>IF(B1177="Positive",D1177,E1177)</f>
        <v>#DIV/0!</v>
      </c>
      <c r="G1177" s="191">
        <f>IF(B1177="Positive",L1017*INPUT!AP43*L937,IF(C1177="OF",L1017*INPUT!AO43,L1017*INPUT!AO43*L937))</f>
        <v>379.50847042889387</v>
      </c>
      <c r="H1177" s="191">
        <f>E514</f>
        <v>1554.726195337154</v>
      </c>
      <c r="I1177" s="191">
        <f>IF(B1177="Positive",F857+K857+H857+I857,F857+K857+D857)</f>
        <v>2834</v>
      </c>
      <c r="J1177" s="174">
        <f>N239</f>
        <v>49150.378220967606</v>
      </c>
      <c r="K1177" s="343">
        <f>1.3*L1017*M413</f>
        <v>54219.538332341341</v>
      </c>
      <c r="L1177" s="378">
        <f>MIN(IF(H1177&lt;=0.1*I1177,1,1.07-0.7*H1177/I1177)*J1177,K1177)</f>
        <v>33716.251777731406</v>
      </c>
      <c r="M1177" s="4"/>
      <c r="N1177" s="4"/>
    </row>
    <row r="1178">
      <c r="A1178" s="187">
        <f>A1098</f>
        <v>101</v>
      </c>
      <c r="B1178" s="174" t="str">
        <f>B1098</f>
        <v>Negative</v>
      </c>
      <c r="C1178" s="174" t="str">
        <f>IF(INPUT!H44=2,"OF","BF")</f>
        <v>OF</v>
      </c>
      <c r="D1178" s="191" t="str">
        <f>IF(B1178="Positive",IF(C1178="OF",1,L938)*1*L1018*INPUT!AO44,"-")</f>
        <v>-</v>
      </c>
      <c r="E1178" s="191" t="e">
        <f>IF(B1178="Positive","-",M1098*SQRT(1-(K938/N1098)^2))</f>
        <v>#DIV/0!</v>
      </c>
      <c r="F1178" s="191" t="e">
        <f>IF(B1178="Positive",D1178,E1178)</f>
        <v>#DIV/0!</v>
      </c>
      <c r="G1178" s="191">
        <f>IF(B1178="Positive",L1018*INPUT!AP44*L938,IF(C1178="OF",L1018*INPUT!AO44,L1018*INPUT!AO44*L938))</f>
        <v>379.50847042889387</v>
      </c>
      <c r="H1178" s="191">
        <f>E515</f>
        <v>1554.726195337154</v>
      </c>
      <c r="I1178" s="191">
        <f>IF(B1178="Positive",F858+K858+H858+I858,F858+K858+D858)</f>
        <v>2834</v>
      </c>
      <c r="J1178" s="174">
        <f>N240</f>
        <v>49150.378220967606</v>
      </c>
      <c r="K1178" s="343">
        <f>1.3*L1018*M414</f>
        <v>54219.538332341341</v>
      </c>
      <c r="L1178" s="378">
        <f>MIN(IF(H1178&lt;=0.1*I1178,1,1.07-0.7*H1178/I1178)*J1178,K1178)</f>
        <v>33716.251777731406</v>
      </c>
      <c r="M1178" s="4"/>
      <c r="N1178" s="4"/>
    </row>
    <row r="1179">
      <c r="A1179" s="187">
        <f>A1099</f>
        <v>101</v>
      </c>
      <c r="B1179" s="174" t="str">
        <f>B1099</f>
        <v>Negative</v>
      </c>
      <c r="C1179" s="174" t="str">
        <f>IF(INPUT!H45=2,"OF","BF")</f>
        <v>OF</v>
      </c>
      <c r="D1179" s="191" t="str">
        <f>IF(B1179="Positive",IF(C1179="OF",1,L939)*1*L1019*INPUT!AO45,"-")</f>
        <v>-</v>
      </c>
      <c r="E1179" s="191" t="e">
        <f>IF(B1179="Positive","-",M1099*SQRT(1-(K939/N1099)^2))</f>
        <v>#DIV/0!</v>
      </c>
      <c r="F1179" s="191" t="e">
        <f>IF(B1179="Positive",D1179,E1179)</f>
        <v>#DIV/0!</v>
      </c>
      <c r="G1179" s="191">
        <f>IF(B1179="Positive",L1019*INPUT!AP45*L939,IF(C1179="OF",L1019*INPUT!AO45,L1019*INPUT!AO45*L939))</f>
        <v>379.50847042889387</v>
      </c>
      <c r="H1179" s="191">
        <f>E516</f>
        <v>1554.726195337154</v>
      </c>
      <c r="I1179" s="191">
        <f>IF(B1179="Positive",F859+K859+H859+I859,F859+K859+D859)</f>
        <v>2834</v>
      </c>
      <c r="J1179" s="174">
        <f>N241</f>
        <v>49150.378220967606</v>
      </c>
      <c r="K1179" s="343">
        <f>1.3*L1019*M415</f>
        <v>54219.538332341341</v>
      </c>
      <c r="L1179" s="378">
        <f>MIN(IF(H1179&lt;=0.1*I1179,1,1.07-0.7*H1179/I1179)*J1179,K1179)</f>
        <v>33716.251777731406</v>
      </c>
      <c r="M1179" s="4"/>
      <c r="N1179" s="4"/>
    </row>
    <row r="1180">
      <c r="A1180" s="187">
        <f>A1100</f>
        <v>101</v>
      </c>
      <c r="B1180" s="174" t="str">
        <f>B1100</f>
        <v>Negative</v>
      </c>
      <c r="C1180" s="174" t="str">
        <f>IF(INPUT!H46=2,"OF","BF")</f>
        <v>OF</v>
      </c>
      <c r="D1180" s="191" t="str">
        <f>IF(B1180="Positive",IF(C1180="OF",1,L940)*1*L1020*INPUT!AO46,"-")</f>
        <v>-</v>
      </c>
      <c r="E1180" s="191" t="e">
        <f>IF(B1180="Positive","-",M1100*SQRT(1-(K940/N1100)^2))</f>
        <v>#DIV/0!</v>
      </c>
      <c r="F1180" s="191" t="e">
        <f>IF(B1180="Positive",D1180,E1180)</f>
        <v>#DIV/0!</v>
      </c>
      <c r="G1180" s="191">
        <f>IF(B1180="Positive",L1020*INPUT!AP46*L940,IF(C1180="OF",L1020*INPUT!AO46,L1020*INPUT!AO46*L940))</f>
        <v>379.50847042889387</v>
      </c>
      <c r="H1180" s="191">
        <f>E517</f>
        <v>1554.726195337154</v>
      </c>
      <c r="I1180" s="191">
        <f>IF(B1180="Positive",F860+K860+H860+I860,F860+K860+D860)</f>
        <v>2834</v>
      </c>
      <c r="J1180" s="174">
        <f>N242</f>
        <v>49150.378220967606</v>
      </c>
      <c r="K1180" s="343">
        <f>1.3*L1020*M416</f>
        <v>54219.538332341341</v>
      </c>
      <c r="L1180" s="378">
        <f>MIN(IF(H1180&lt;=0.1*I1180,1,1.07-0.7*H1180/I1180)*J1180,K1180)</f>
        <v>33716.251777731406</v>
      </c>
      <c r="M1180" s="4"/>
      <c r="N1180" s="4"/>
    </row>
    <row r="1181">
      <c r="A1181" s="187">
        <f>A1101</f>
        <v>101</v>
      </c>
      <c r="B1181" s="174" t="str">
        <f>B1101</f>
        <v>Negative</v>
      </c>
      <c r="C1181" s="174" t="str">
        <f>IF(INPUT!H47=2,"OF","BF")</f>
        <v>OF</v>
      </c>
      <c r="D1181" s="191" t="str">
        <f>IF(B1181="Positive",IF(C1181="OF",1,L941)*1*L1021*INPUT!AO47,"-")</f>
        <v>-</v>
      </c>
      <c r="E1181" s="191" t="e">
        <f>IF(B1181="Positive","-",M1101*SQRT(1-(K941/N1101)^2))</f>
        <v>#DIV/0!</v>
      </c>
      <c r="F1181" s="191" t="e">
        <f>IF(B1181="Positive",D1181,E1181)</f>
        <v>#DIV/0!</v>
      </c>
      <c r="G1181" s="191">
        <f>IF(B1181="Positive",L1021*INPUT!AP47*L941,IF(C1181="OF",L1021*INPUT!AO47,L1021*INPUT!AO47*L941))</f>
        <v>379.50847042889387</v>
      </c>
      <c r="H1181" s="191">
        <f>E518</f>
        <v>1554.726195337154</v>
      </c>
      <c r="I1181" s="191">
        <f>IF(B1181="Positive",F861+K861+H861+I861,F861+K861+D861)</f>
        <v>2834</v>
      </c>
      <c r="J1181" s="174">
        <f>N243</f>
        <v>49150.378220967606</v>
      </c>
      <c r="K1181" s="343">
        <f>1.3*L1021*M417</f>
        <v>54219.538332341341</v>
      </c>
      <c r="L1181" s="378">
        <f>MIN(IF(H1181&lt;=0.1*I1181,1,1.07-0.7*H1181/I1181)*J1181,K1181)</f>
        <v>33716.251777731406</v>
      </c>
      <c r="M1181" s="4"/>
      <c r="N1181" s="4"/>
    </row>
    <row r="1182">
      <c r="A1182" s="187">
        <f>A1102</f>
        <v>101</v>
      </c>
      <c r="B1182" s="174" t="str">
        <f>B1102</f>
        <v>Negative</v>
      </c>
      <c r="C1182" s="174" t="str">
        <f>IF(INPUT!H48=2,"OF","BF")</f>
        <v>OF</v>
      </c>
      <c r="D1182" s="191" t="str">
        <f>IF(B1182="Positive",IF(C1182="OF",1,L942)*1*L1022*INPUT!AO48,"-")</f>
        <v>-</v>
      </c>
      <c r="E1182" s="191" t="e">
        <f>IF(B1182="Positive","-",M1102*SQRT(1-(K942/N1102)^2))</f>
        <v>#DIV/0!</v>
      </c>
      <c r="F1182" s="191" t="e">
        <f>IF(B1182="Positive",D1182,E1182)</f>
        <v>#DIV/0!</v>
      </c>
      <c r="G1182" s="191">
        <f>IF(B1182="Positive",L1022*INPUT!AP48*L942,IF(C1182="OF",L1022*INPUT!AO48,L1022*INPUT!AO48*L942))</f>
        <v>379.50847042889387</v>
      </c>
      <c r="H1182" s="191">
        <f>E519</f>
        <v>1554.726195337154</v>
      </c>
      <c r="I1182" s="191">
        <f>IF(B1182="Positive",F862+K862+H862+I862,F862+K862+D862)</f>
        <v>2834</v>
      </c>
      <c r="J1182" s="174">
        <f>N244</f>
        <v>49150.378220967606</v>
      </c>
      <c r="K1182" s="343">
        <f>1.3*L1022*M418</f>
        <v>54219.538332341341</v>
      </c>
      <c r="L1182" s="378">
        <f>MIN(IF(H1182&lt;=0.1*I1182,1,1.07-0.7*H1182/I1182)*J1182,K1182)</f>
        <v>33716.251777731406</v>
      </c>
      <c r="M1182" s="4"/>
      <c r="N1182" s="4"/>
    </row>
    <row r="1183">
      <c r="A1183" s="187">
        <f>A1103</f>
        <v>101</v>
      </c>
      <c r="B1183" s="174" t="str">
        <f>B1103</f>
        <v>Negative</v>
      </c>
      <c r="C1183" s="174" t="str">
        <f>IF(INPUT!H49=2,"OF","BF")</f>
        <v>OF</v>
      </c>
      <c r="D1183" s="191" t="str">
        <f>IF(B1183="Positive",IF(C1183="OF",1,L943)*1*L1023*INPUT!AO49,"-")</f>
        <v>-</v>
      </c>
      <c r="E1183" s="191" t="e">
        <f>IF(B1183="Positive","-",M1103*SQRT(1-(K943/N1103)^2))</f>
        <v>#DIV/0!</v>
      </c>
      <c r="F1183" s="191" t="e">
        <f>IF(B1183="Positive",D1183,E1183)</f>
        <v>#DIV/0!</v>
      </c>
      <c r="G1183" s="191">
        <f>IF(B1183="Positive",L1023*INPUT!AP49*L943,IF(C1183="OF",L1023*INPUT!AO49,L1023*INPUT!AO49*L943))</f>
        <v>379.50847042889387</v>
      </c>
      <c r="H1183" s="191">
        <f>E520</f>
        <v>1554.726195337154</v>
      </c>
      <c r="I1183" s="191">
        <f>IF(B1183="Positive",F863+K863+H863+I863,F863+K863+D863)</f>
        <v>2834</v>
      </c>
      <c r="J1183" s="174">
        <f>N245</f>
        <v>49150.378220967606</v>
      </c>
      <c r="K1183" s="343">
        <f>1.3*L1023*M419</f>
        <v>54219.538332341341</v>
      </c>
      <c r="L1183" s="378">
        <f>MIN(IF(H1183&lt;=0.1*I1183,1,1.07-0.7*H1183/I1183)*J1183,K1183)</f>
        <v>33716.251777731406</v>
      </c>
      <c r="M1183" s="4"/>
      <c r="N1183" s="4"/>
    </row>
    <row r="1184">
      <c r="A1184" s="187">
        <f>A1104</f>
        <v>101</v>
      </c>
      <c r="B1184" s="174" t="str">
        <f>B1104</f>
        <v>Negative</v>
      </c>
      <c r="C1184" s="174" t="str">
        <f>IF(INPUT!H50=2,"OF","BF")</f>
        <v>OF</v>
      </c>
      <c r="D1184" s="191" t="str">
        <f>IF(B1184="Positive",IF(C1184="OF",1,L944)*1*L1024*INPUT!AO50,"-")</f>
        <v>-</v>
      </c>
      <c r="E1184" s="191" t="e">
        <f>IF(B1184="Positive","-",M1104*SQRT(1-(K944/N1104)^2))</f>
        <v>#DIV/0!</v>
      </c>
      <c r="F1184" s="191" t="e">
        <f>IF(B1184="Positive",D1184,E1184)</f>
        <v>#DIV/0!</v>
      </c>
      <c r="G1184" s="191">
        <f>IF(B1184="Positive",L1024*INPUT!AP50*L944,IF(C1184="OF",L1024*INPUT!AO50,L1024*INPUT!AO50*L944))</f>
        <v>379.50847042889387</v>
      </c>
      <c r="H1184" s="191">
        <f>E521</f>
        <v>1554.726195337154</v>
      </c>
      <c r="I1184" s="191">
        <f>IF(B1184="Positive",F864+K864+H864+I864,F864+K864+D864)</f>
        <v>2834</v>
      </c>
      <c r="J1184" s="174">
        <f>N246</f>
        <v>49150.378220967606</v>
      </c>
      <c r="K1184" s="343">
        <f>1.3*L1024*M420</f>
        <v>54219.538332341341</v>
      </c>
      <c r="L1184" s="378">
        <f>MIN(IF(H1184&lt;=0.1*I1184,1,1.07-0.7*H1184/I1184)*J1184,K1184)</f>
        <v>33716.251777731406</v>
      </c>
      <c r="M1184" s="4"/>
      <c r="N1184" s="4"/>
    </row>
    <row r="1185">
      <c r="A1185" s="187">
        <f>A1105</f>
        <v>101</v>
      </c>
      <c r="B1185" s="174" t="str">
        <f>B1105</f>
        <v>Negative</v>
      </c>
      <c r="C1185" s="174" t="str">
        <f>IF(INPUT!H51=2,"OF","BF")</f>
        <v>OF</v>
      </c>
      <c r="D1185" s="191" t="str">
        <f>IF(B1185="Positive",IF(C1185="OF",1,L945)*1*L1025*INPUT!AO51,"-")</f>
        <v>-</v>
      </c>
      <c r="E1185" s="191" t="e">
        <f>IF(B1185="Positive","-",M1105*SQRT(1-(K945/N1105)^2))</f>
        <v>#DIV/0!</v>
      </c>
      <c r="F1185" s="191" t="e">
        <f>IF(B1185="Positive",D1185,E1185)</f>
        <v>#DIV/0!</v>
      </c>
      <c r="G1185" s="191">
        <f>IF(B1185="Positive",L1025*INPUT!AP51*L945,IF(C1185="OF",L1025*INPUT!AO51,L1025*INPUT!AO51*L945))</f>
        <v>379.50847042889387</v>
      </c>
      <c r="H1185" s="191">
        <f>E522</f>
        <v>1554.726195337154</v>
      </c>
      <c r="I1185" s="191">
        <f>IF(B1185="Positive",F865+K865+H865+I865,F865+K865+D865)</f>
        <v>2834</v>
      </c>
      <c r="J1185" s="174">
        <f>N247</f>
        <v>49150.378220967606</v>
      </c>
      <c r="K1185" s="343">
        <f>1.3*L1025*M421</f>
        <v>54219.538332341341</v>
      </c>
      <c r="L1185" s="378">
        <f>MIN(IF(H1185&lt;=0.1*I1185,1,1.07-0.7*H1185/I1185)*J1185,K1185)</f>
        <v>33716.251777731406</v>
      </c>
      <c r="M1185" s="4"/>
      <c r="N1185" s="4"/>
    </row>
    <row r="1186">
      <c r="A1186" s="187">
        <f>A1106</f>
        <v>101</v>
      </c>
      <c r="B1186" s="174" t="str">
        <f>B1106</f>
        <v>Negative</v>
      </c>
      <c r="C1186" s="174" t="str">
        <f>IF(INPUT!H52=2,"OF","BF")</f>
        <v>OF</v>
      </c>
      <c r="D1186" s="191" t="str">
        <f>IF(B1186="Positive",IF(C1186="OF",1,L946)*1*L1026*INPUT!AO52,"-")</f>
        <v>-</v>
      </c>
      <c r="E1186" s="191" t="e">
        <f>IF(B1186="Positive","-",M1106*SQRT(1-(K946/N1106)^2))</f>
        <v>#DIV/0!</v>
      </c>
      <c r="F1186" s="191" t="e">
        <f>IF(B1186="Positive",D1186,E1186)</f>
        <v>#DIV/0!</v>
      </c>
      <c r="G1186" s="191">
        <f>IF(B1186="Positive",L1026*INPUT!AP52*L946,IF(C1186="OF",L1026*INPUT!AO52,L1026*INPUT!AO52*L946))</f>
        <v>379.50847042889387</v>
      </c>
      <c r="H1186" s="191">
        <f>E523</f>
        <v>1554.726195337154</v>
      </c>
      <c r="I1186" s="191">
        <f>IF(B1186="Positive",F866+K866+H866+I866,F866+K866+D866)</f>
        <v>2834</v>
      </c>
      <c r="J1186" s="174">
        <f>N248</f>
        <v>49150.378220967606</v>
      </c>
      <c r="K1186" s="343">
        <f>1.3*L1026*M422</f>
        <v>54219.538332341341</v>
      </c>
      <c r="L1186" s="378">
        <f>MIN(IF(H1186&lt;=0.1*I1186,1,1.07-0.7*H1186/I1186)*J1186,K1186)</f>
        <v>33716.251777731406</v>
      </c>
      <c r="M1186" s="4"/>
      <c r="N1186" s="4"/>
    </row>
    <row r="1187">
      <c r="A1187" s="187">
        <f>A1107</f>
        <v>101</v>
      </c>
      <c r="B1187" s="174" t="str">
        <f>B1107</f>
        <v>Negative</v>
      </c>
      <c r="C1187" s="174" t="str">
        <f>IF(INPUT!H53=2,"OF","BF")</f>
        <v>OF</v>
      </c>
      <c r="D1187" s="191" t="str">
        <f>IF(B1187="Positive",IF(C1187="OF",1,L947)*1*L1027*INPUT!AO53,"-")</f>
        <v>-</v>
      </c>
      <c r="E1187" s="191" t="e">
        <f>IF(B1187="Positive","-",M1107*SQRT(1-(K947/N1107)^2))</f>
        <v>#DIV/0!</v>
      </c>
      <c r="F1187" s="191" t="e">
        <f>IF(B1187="Positive",D1187,E1187)</f>
        <v>#DIV/0!</v>
      </c>
      <c r="G1187" s="191">
        <f>IF(B1187="Positive",L1027*INPUT!AP53*L947,IF(C1187="OF",L1027*INPUT!AO53,L1027*INPUT!AO53*L947))</f>
        <v>379.50847042889387</v>
      </c>
      <c r="H1187" s="191">
        <f>E524</f>
        <v>1554.726195337154</v>
      </c>
      <c r="I1187" s="191">
        <f>IF(B1187="Positive",F867+K867+H867+I867,F867+K867+D867)</f>
        <v>2834</v>
      </c>
      <c r="J1187" s="174">
        <f>N249</f>
        <v>49150.378220967606</v>
      </c>
      <c r="K1187" s="343">
        <f>1.3*L1027*M423</f>
        <v>54219.538332341341</v>
      </c>
      <c r="L1187" s="378">
        <f>MIN(IF(H1187&lt;=0.1*I1187,1,1.07-0.7*H1187/I1187)*J1187,K1187)</f>
        <v>33716.251777731406</v>
      </c>
      <c r="M1187" s="4"/>
      <c r="N1187" s="4"/>
    </row>
    <row r="1188">
      <c r="A1188" s="187">
        <f>A1108</f>
        <v>101</v>
      </c>
      <c r="B1188" s="174" t="str">
        <f>B1108</f>
        <v>Negative</v>
      </c>
      <c r="C1188" s="174" t="str">
        <f>IF(INPUT!H54=2,"OF","BF")</f>
        <v>OF</v>
      </c>
      <c r="D1188" s="191" t="str">
        <f>IF(B1188="Positive",IF(C1188="OF",1,L948)*1*L1028*INPUT!AO54,"-")</f>
        <v>-</v>
      </c>
      <c r="E1188" s="191" t="e">
        <f>IF(B1188="Positive","-",M1108*SQRT(1-(K948/N1108)^2))</f>
        <v>#DIV/0!</v>
      </c>
      <c r="F1188" s="191" t="e">
        <f>IF(B1188="Positive",D1188,E1188)</f>
        <v>#DIV/0!</v>
      </c>
      <c r="G1188" s="191">
        <f>IF(B1188="Positive",L1028*INPUT!AP54*L948,IF(C1188="OF",L1028*INPUT!AO54,L1028*INPUT!AO54*L948))</f>
        <v>379.50847042889387</v>
      </c>
      <c r="H1188" s="191">
        <f>E525</f>
        <v>1554.726195337154</v>
      </c>
      <c r="I1188" s="191">
        <f>IF(B1188="Positive",F868+K868+H868+I868,F868+K868+D868)</f>
        <v>2834</v>
      </c>
      <c r="J1188" s="174">
        <f>N250</f>
        <v>49150.378220967606</v>
      </c>
      <c r="K1188" s="343">
        <f>1.3*L1028*M424</f>
        <v>54219.538332341341</v>
      </c>
      <c r="L1188" s="378">
        <f>MIN(IF(H1188&lt;=0.1*I1188,1,1.07-0.7*H1188/I1188)*J1188,K1188)</f>
        <v>33716.251777731406</v>
      </c>
      <c r="M1188" s="4"/>
      <c r="N1188" s="4"/>
    </row>
    <row r="1189">
      <c r="A1189" s="187">
        <f>A1109</f>
        <v>101</v>
      </c>
      <c r="B1189" s="174" t="str">
        <f>B1109</f>
        <v>Negative</v>
      </c>
      <c r="C1189" s="174" t="str">
        <f>IF(INPUT!H55=2,"OF","BF")</f>
        <v>OF</v>
      </c>
      <c r="D1189" s="191" t="str">
        <f>IF(B1189="Positive",IF(C1189="OF",1,L949)*1*L1029*INPUT!AO55,"-")</f>
        <v>-</v>
      </c>
      <c r="E1189" s="191" t="e">
        <f>IF(B1189="Positive","-",M1109*SQRT(1-(K949/N1109)^2))</f>
        <v>#DIV/0!</v>
      </c>
      <c r="F1189" s="191" t="e">
        <f>IF(B1189="Positive",D1189,E1189)</f>
        <v>#DIV/0!</v>
      </c>
      <c r="G1189" s="191">
        <f>IF(B1189="Positive",L1029*INPUT!AP55*L949,IF(C1189="OF",L1029*INPUT!AO55,L1029*INPUT!AO55*L949))</f>
        <v>379.50847042889387</v>
      </c>
      <c r="H1189" s="191">
        <f>E526</f>
        <v>1554.726195337154</v>
      </c>
      <c r="I1189" s="191">
        <f>IF(B1189="Positive",F869+K869+H869+I869,F869+K869+D869)</f>
        <v>2834</v>
      </c>
      <c r="J1189" s="174">
        <f>N251</f>
        <v>49150.378220967606</v>
      </c>
      <c r="K1189" s="343">
        <f>1.3*L1029*M425</f>
        <v>54219.538332341341</v>
      </c>
      <c r="L1189" s="378">
        <f>MIN(IF(H1189&lt;=0.1*I1189,1,1.07-0.7*H1189/I1189)*J1189,K1189)</f>
        <v>33716.251777731406</v>
      </c>
      <c r="M1189" s="4"/>
      <c r="N1189" s="4"/>
    </row>
    <row r="1190">
      <c r="A1190" s="187">
        <f>A1110</f>
        <v>101</v>
      </c>
      <c r="B1190" s="174" t="str">
        <f>B1110</f>
        <v>Negative</v>
      </c>
      <c r="C1190" s="174" t="str">
        <f>IF(INPUT!H56=2,"OF","BF")</f>
        <v>OF</v>
      </c>
      <c r="D1190" s="191" t="str">
        <f>IF(B1190="Positive",IF(C1190="OF",1,L950)*1*L1030*INPUT!AO56,"-")</f>
        <v>-</v>
      </c>
      <c r="E1190" s="191" t="e">
        <f>IF(B1190="Positive","-",M1110*SQRT(1-(K950/N1110)^2))</f>
        <v>#DIV/0!</v>
      </c>
      <c r="F1190" s="191" t="e">
        <f>IF(B1190="Positive",D1190,E1190)</f>
        <v>#DIV/0!</v>
      </c>
      <c r="G1190" s="191">
        <f>IF(B1190="Positive",L1030*INPUT!AP56*L950,IF(C1190="OF",L1030*INPUT!AO56,L1030*INPUT!AO56*L950))</f>
        <v>379.50847042889387</v>
      </c>
      <c r="H1190" s="191">
        <f>E527</f>
        <v>1554.726195337154</v>
      </c>
      <c r="I1190" s="191">
        <f>IF(B1190="Positive",F870+K870+H870+I870,F870+K870+D870)</f>
        <v>2834</v>
      </c>
      <c r="J1190" s="174">
        <f>N252</f>
        <v>49150.378220967606</v>
      </c>
      <c r="K1190" s="343">
        <f>1.3*L1030*M426</f>
        <v>54219.538332341341</v>
      </c>
      <c r="L1190" s="378">
        <f>MIN(IF(H1190&lt;=0.1*I1190,1,1.07-0.7*H1190/I1190)*J1190,K1190)</f>
        <v>33716.251777731406</v>
      </c>
      <c r="M1190" s="4"/>
      <c r="N1190" s="4"/>
    </row>
    <row r="1191">
      <c r="A1191" s="187">
        <f>A1111</f>
        <v>101</v>
      </c>
      <c r="B1191" s="174" t="str">
        <f>B1111</f>
        <v>Negative</v>
      </c>
      <c r="C1191" s="174" t="str">
        <f>IF(INPUT!H57=2,"OF","BF")</f>
        <v>OF</v>
      </c>
      <c r="D1191" s="191" t="str">
        <f>IF(B1191="Positive",IF(C1191="OF",1,L951)*1*L1031*INPUT!AO57,"-")</f>
        <v>-</v>
      </c>
      <c r="E1191" s="191" t="e">
        <f>IF(B1191="Positive","-",M1111*SQRT(1-(K951/N1111)^2))</f>
        <v>#DIV/0!</v>
      </c>
      <c r="F1191" s="191" t="e">
        <f>IF(B1191="Positive",D1191,E1191)</f>
        <v>#DIV/0!</v>
      </c>
      <c r="G1191" s="191">
        <f>IF(B1191="Positive",L1031*INPUT!AP57*L951,IF(C1191="OF",L1031*INPUT!AO57,L1031*INPUT!AO57*L951))</f>
        <v>379.50847042889387</v>
      </c>
      <c r="H1191" s="191">
        <f>E528</f>
        <v>1554.726195337154</v>
      </c>
      <c r="I1191" s="191">
        <f>IF(B1191="Positive",F871+K871+H871+I871,F871+K871+D871)</f>
        <v>2834</v>
      </c>
      <c r="J1191" s="174">
        <f>N253</f>
        <v>49150.378220967606</v>
      </c>
      <c r="K1191" s="343">
        <f>1.3*L1031*M427</f>
        <v>54219.538332341341</v>
      </c>
      <c r="L1191" s="378">
        <f>MIN(IF(H1191&lt;=0.1*I1191,1,1.07-0.7*H1191/I1191)*J1191,K1191)</f>
        <v>33716.251777731406</v>
      </c>
      <c r="M1191" s="4"/>
      <c r="N1191" s="4"/>
    </row>
    <row r="1192">
      <c r="A1192" s="187">
        <f>A1112</f>
        <v>101</v>
      </c>
      <c r="B1192" s="174" t="str">
        <f>B1112</f>
        <v>Negative</v>
      </c>
      <c r="C1192" s="174" t="str">
        <f>IF(INPUT!H58=2,"OF","BF")</f>
        <v>OF</v>
      </c>
      <c r="D1192" s="191" t="str">
        <f>IF(B1192="Positive",IF(C1192="OF",1,L952)*1*L1032*INPUT!AO58,"-")</f>
        <v>-</v>
      </c>
      <c r="E1192" s="191" t="e">
        <f>IF(B1192="Positive","-",M1112*SQRT(1-(K952/N1112)^2))</f>
        <v>#DIV/0!</v>
      </c>
      <c r="F1192" s="191" t="e">
        <f>IF(B1192="Positive",D1192,E1192)</f>
        <v>#DIV/0!</v>
      </c>
      <c r="G1192" s="191">
        <f>IF(B1192="Positive",L1032*INPUT!AP58*L952,IF(C1192="OF",L1032*INPUT!AO58,L1032*INPUT!AO58*L952))</f>
        <v>379.50847042889387</v>
      </c>
      <c r="H1192" s="191">
        <f>E529</f>
        <v>1554.726195337154</v>
      </c>
      <c r="I1192" s="191">
        <f>IF(B1192="Positive",F872+K872+H872+I872,F872+K872+D872)</f>
        <v>2834</v>
      </c>
      <c r="J1192" s="174">
        <f>N254</f>
        <v>49150.378220967606</v>
      </c>
      <c r="K1192" s="343">
        <f>1.3*L1032*M428</f>
        <v>54219.538332341341</v>
      </c>
      <c r="L1192" s="378">
        <f>MIN(IF(H1192&lt;=0.1*I1192,1,1.07-0.7*H1192/I1192)*J1192,K1192)</f>
        <v>33716.251777731406</v>
      </c>
      <c r="M1192" s="4"/>
      <c r="N1192" s="4"/>
    </row>
    <row r="1193">
      <c r="A1193" s="187">
        <f>A1113</f>
        <v>101</v>
      </c>
      <c r="B1193" s="174" t="str">
        <f>B1113</f>
        <v>Negative</v>
      </c>
      <c r="C1193" s="174" t="str">
        <f>IF(INPUT!H59=2,"OF","BF")</f>
        <v>OF</v>
      </c>
      <c r="D1193" s="191" t="str">
        <f>IF(B1193="Positive",IF(C1193="OF",1,L953)*1*L1033*INPUT!AO59,"-")</f>
        <v>-</v>
      </c>
      <c r="E1193" s="191" t="e">
        <f>IF(B1193="Positive","-",M1113*SQRT(1-(K953/N1113)^2))</f>
        <v>#DIV/0!</v>
      </c>
      <c r="F1193" s="191" t="e">
        <f>IF(B1193="Positive",D1193,E1193)</f>
        <v>#DIV/0!</v>
      </c>
      <c r="G1193" s="191">
        <f>IF(B1193="Positive",L1033*INPUT!AP59*L953,IF(C1193="OF",L1033*INPUT!AO59,L1033*INPUT!AO59*L953))</f>
        <v>379.50847042889387</v>
      </c>
      <c r="H1193" s="191">
        <f>E530</f>
        <v>1554.726195337154</v>
      </c>
      <c r="I1193" s="191">
        <f>IF(B1193="Positive",F873+K873+H873+I873,F873+K873+D873)</f>
        <v>2834</v>
      </c>
      <c r="J1193" s="174">
        <f>N255</f>
        <v>49150.378220967606</v>
      </c>
      <c r="K1193" s="343">
        <f>1.3*L1033*M429</f>
        <v>54219.538332341341</v>
      </c>
      <c r="L1193" s="378">
        <f>MIN(IF(H1193&lt;=0.1*I1193,1,1.07-0.7*H1193/I1193)*J1193,K1193)</f>
        <v>33716.251777731406</v>
      </c>
      <c r="M1193" s="4"/>
      <c r="N1193" s="4"/>
    </row>
    <row r="1194">
      <c r="A1194" s="187">
        <f>A1114</f>
        <v>101</v>
      </c>
      <c r="B1194" s="174" t="str">
        <f>B1114</f>
        <v>Negative</v>
      </c>
      <c r="C1194" s="174" t="str">
        <f>IF(INPUT!H60=2,"OF","BF")</f>
        <v>OF</v>
      </c>
      <c r="D1194" s="191" t="str">
        <f>IF(B1194="Positive",IF(C1194="OF",1,L954)*1*L1034*INPUT!AO60,"-")</f>
        <v>-</v>
      </c>
      <c r="E1194" s="191" t="e">
        <f>IF(B1194="Positive","-",M1114*SQRT(1-(K954/N1114)^2))</f>
        <v>#DIV/0!</v>
      </c>
      <c r="F1194" s="191" t="e">
        <f>IF(B1194="Positive",D1194,E1194)</f>
        <v>#DIV/0!</v>
      </c>
      <c r="G1194" s="191">
        <f>IF(B1194="Positive",L1034*INPUT!AP60*L954,IF(C1194="OF",L1034*INPUT!AO60,L1034*INPUT!AO60*L954))</f>
        <v>379.50847042889387</v>
      </c>
      <c r="H1194" s="191">
        <f>E531</f>
        <v>1554.726195337154</v>
      </c>
      <c r="I1194" s="191">
        <f>IF(B1194="Positive",F874+K874+H874+I874,F874+K874+D874)</f>
        <v>2834</v>
      </c>
      <c r="J1194" s="174">
        <f>N256</f>
        <v>49150.378220967606</v>
      </c>
      <c r="K1194" s="343">
        <f>1.3*L1034*M430</f>
        <v>54219.538332341341</v>
      </c>
      <c r="L1194" s="378">
        <f>MIN(IF(H1194&lt;=0.1*I1194,1,1.07-0.7*H1194/I1194)*J1194,K1194)</f>
        <v>33716.251777731406</v>
      </c>
      <c r="M1194" s="4"/>
      <c r="N1194" s="4"/>
    </row>
    <row r="1195">
      <c r="A1195" s="187">
        <f>A1115</f>
        <v>101</v>
      </c>
      <c r="B1195" s="174" t="str">
        <f>B1115</f>
        <v>Negative</v>
      </c>
      <c r="C1195" s="174" t="str">
        <f>IF(INPUT!H61=2,"OF","BF")</f>
        <v>OF</v>
      </c>
      <c r="D1195" s="191" t="str">
        <f>IF(B1195="Positive",IF(C1195="OF",1,L955)*1*L1035*INPUT!AO61,"-")</f>
        <v>-</v>
      </c>
      <c r="E1195" s="191" t="e">
        <f>IF(B1195="Positive","-",M1115*SQRT(1-(K955/N1115)^2))</f>
        <v>#DIV/0!</v>
      </c>
      <c r="F1195" s="191" t="e">
        <f>IF(B1195="Positive",D1195,E1195)</f>
        <v>#DIV/0!</v>
      </c>
      <c r="G1195" s="191">
        <f>IF(B1195="Positive",L1035*INPUT!AP61*L955,IF(C1195="OF",L1035*INPUT!AO61,L1035*INPUT!AO61*L955))</f>
        <v>379.50847042889387</v>
      </c>
      <c r="H1195" s="191">
        <f>E532</f>
        <v>1554.726195337154</v>
      </c>
      <c r="I1195" s="191">
        <f>IF(B1195="Positive",F875+K875+H875+I875,F875+K875+D875)</f>
        <v>2834</v>
      </c>
      <c r="J1195" s="174">
        <f>N257</f>
        <v>49150.378220967606</v>
      </c>
      <c r="K1195" s="343">
        <f>1.3*L1035*M431</f>
        <v>54219.538332341341</v>
      </c>
      <c r="L1195" s="378">
        <f>MIN(IF(H1195&lt;=0.1*I1195,1,1.07-0.7*H1195/I1195)*J1195,K1195)</f>
        <v>33716.251777731406</v>
      </c>
      <c r="M1195" s="4"/>
      <c r="N1195" s="4"/>
    </row>
    <row r="1196">
      <c r="A1196" s="187">
        <f>A1116</f>
        <v>101</v>
      </c>
      <c r="B1196" s="174" t="str">
        <f>B1116</f>
        <v>Negative</v>
      </c>
      <c r="C1196" s="174" t="str">
        <f>IF(INPUT!H62=2,"OF","BF")</f>
        <v>OF</v>
      </c>
      <c r="D1196" s="191" t="str">
        <f>IF(B1196="Positive",IF(C1196="OF",1,L956)*1*L1036*INPUT!AO62,"-")</f>
        <v>-</v>
      </c>
      <c r="E1196" s="191" t="e">
        <f>IF(B1196="Positive","-",M1116*SQRT(1-(K956/N1116)^2))</f>
        <v>#DIV/0!</v>
      </c>
      <c r="F1196" s="191" t="e">
        <f>IF(B1196="Positive",D1196,E1196)</f>
        <v>#DIV/0!</v>
      </c>
      <c r="G1196" s="191">
        <f>IF(B1196="Positive",L1036*INPUT!AP62*L956,IF(C1196="OF",L1036*INPUT!AO62,L1036*INPUT!AO62*L956))</f>
        <v>379.50847042889387</v>
      </c>
      <c r="H1196" s="191">
        <f>E533</f>
        <v>1554.726195337154</v>
      </c>
      <c r="I1196" s="191">
        <f>IF(B1196="Positive",F876+K876+H876+I876,F876+K876+D876)</f>
        <v>2834</v>
      </c>
      <c r="J1196" s="174">
        <f>N258</f>
        <v>49150.378220967606</v>
      </c>
      <c r="K1196" s="343">
        <f>1.3*L1036*M432</f>
        <v>54219.538332341341</v>
      </c>
      <c r="L1196" s="378">
        <f>MIN(IF(H1196&lt;=0.1*I1196,1,1.07-0.7*H1196/I1196)*J1196,K1196)</f>
        <v>33716.251777731406</v>
      </c>
      <c r="M1196" s="4"/>
      <c r="N1196" s="4"/>
    </row>
    <row r="1197">
      <c r="A1197" s="187">
        <f>A1117</f>
        <v>101</v>
      </c>
      <c r="B1197" s="174" t="str">
        <f>B1117</f>
        <v>Negative</v>
      </c>
      <c r="C1197" s="174" t="str">
        <f>IF(INPUT!H63=2,"OF","BF")</f>
        <v>OF</v>
      </c>
      <c r="D1197" s="191" t="str">
        <f>IF(B1197="Positive",IF(C1197="OF",1,L957)*1*L1037*INPUT!AO63,"-")</f>
        <v>-</v>
      </c>
      <c r="E1197" s="191" t="e">
        <f>IF(B1197="Positive","-",M1117*SQRT(1-(K957/N1117)^2))</f>
        <v>#DIV/0!</v>
      </c>
      <c r="F1197" s="191" t="e">
        <f>IF(B1197="Positive",D1197,E1197)</f>
        <v>#DIV/0!</v>
      </c>
      <c r="G1197" s="191">
        <f>IF(B1197="Positive",L1037*INPUT!AP63*L957,IF(C1197="OF",L1037*INPUT!AO63,L1037*INPUT!AO63*L957))</f>
        <v>379.50847042889387</v>
      </c>
      <c r="H1197" s="191">
        <f>E534</f>
        <v>1554.726195337154</v>
      </c>
      <c r="I1197" s="191">
        <f>IF(B1197="Positive",F877+K877+H877+I877,F877+K877+D877)</f>
        <v>2834</v>
      </c>
      <c r="J1197" s="174">
        <f>N259</f>
        <v>49150.378220967606</v>
      </c>
      <c r="K1197" s="343">
        <f>1.3*L1037*M433</f>
        <v>54219.538332341341</v>
      </c>
      <c r="L1197" s="378">
        <f>MIN(IF(H1197&lt;=0.1*I1197,1,1.07-0.7*H1197/I1197)*J1197,K1197)</f>
        <v>33716.251777731406</v>
      </c>
      <c r="M1197" s="4"/>
      <c r="N1197" s="4"/>
    </row>
    <row r="1198">
      <c r="A1198" s="187">
        <f>A1118</f>
        <v>101</v>
      </c>
      <c r="B1198" s="174" t="str">
        <f>B1118</f>
        <v>Negative</v>
      </c>
      <c r="C1198" s="174" t="str">
        <f>IF(INPUT!H64=2,"OF","BF")</f>
        <v>OF</v>
      </c>
      <c r="D1198" s="191" t="str">
        <f>IF(B1198="Positive",IF(C1198="OF",1,L958)*1*L1038*INPUT!AO64,"-")</f>
        <v>-</v>
      </c>
      <c r="E1198" s="191" t="e">
        <f>IF(B1198="Positive","-",M1118*SQRT(1-(K958/N1118)^2))</f>
        <v>#DIV/0!</v>
      </c>
      <c r="F1198" s="191" t="e">
        <f>IF(B1198="Positive",D1198,E1198)</f>
        <v>#DIV/0!</v>
      </c>
      <c r="G1198" s="191">
        <f>IF(B1198="Positive",L1038*INPUT!AP64*L958,IF(C1198="OF",L1038*INPUT!AO64,L1038*INPUT!AO64*L958))</f>
        <v>379.50847042889387</v>
      </c>
      <c r="H1198" s="191">
        <f>E535</f>
        <v>1554.726195337154</v>
      </c>
      <c r="I1198" s="191">
        <f>IF(B1198="Positive",F878+K878+H878+I878,F878+K878+D878)</f>
        <v>2834</v>
      </c>
      <c r="J1198" s="174">
        <f>N260</f>
        <v>49150.378220967606</v>
      </c>
      <c r="K1198" s="343">
        <f>1.3*L1038*M434</f>
        <v>54219.538332341341</v>
      </c>
      <c r="L1198" s="378">
        <f>MIN(IF(H1198&lt;=0.1*I1198,1,1.07-0.7*H1198/I1198)*J1198,K1198)</f>
        <v>33716.251777731406</v>
      </c>
      <c r="M1198" s="4"/>
      <c r="N1198" s="4"/>
    </row>
    <row r="1199">
      <c r="A1199" s="187">
        <f>A1119</f>
        <v>101</v>
      </c>
      <c r="B1199" s="174" t="str">
        <f>B1119</f>
        <v>Negative</v>
      </c>
      <c r="C1199" s="174" t="str">
        <f>IF(INPUT!H65=2,"OF","BF")</f>
        <v>OF</v>
      </c>
      <c r="D1199" s="191" t="str">
        <f>IF(B1199="Positive",IF(C1199="OF",1,L959)*1*L1039*INPUT!AO65,"-")</f>
        <v>-</v>
      </c>
      <c r="E1199" s="191" t="e">
        <f>IF(B1199="Positive","-",M1119*SQRT(1-(K959/N1119)^2))</f>
        <v>#DIV/0!</v>
      </c>
      <c r="F1199" s="191" t="e">
        <f>IF(B1199="Positive",D1199,E1199)</f>
        <v>#DIV/0!</v>
      </c>
      <c r="G1199" s="191">
        <f>IF(B1199="Positive",L1039*INPUT!AP65*L959,IF(C1199="OF",L1039*INPUT!AO65,L1039*INPUT!AO65*L959))</f>
        <v>379.50847042889387</v>
      </c>
      <c r="H1199" s="191">
        <f>E536</f>
        <v>1554.726195337154</v>
      </c>
      <c r="I1199" s="191">
        <f>IF(B1199="Positive",F879+K879+H879+I879,F879+K879+D879)</f>
        <v>2834</v>
      </c>
      <c r="J1199" s="174">
        <f>N261</f>
        <v>49150.378220967606</v>
      </c>
      <c r="K1199" s="343">
        <f>1.3*L1039*M435</f>
        <v>54219.538332341341</v>
      </c>
      <c r="L1199" s="378">
        <f>MIN(IF(H1199&lt;=0.1*I1199,1,1.07-0.7*H1199/I1199)*J1199,K1199)</f>
        <v>33716.251777731406</v>
      </c>
      <c r="M1199" s="4"/>
      <c r="N1199" s="4"/>
    </row>
    <row r="1200">
      <c r="A1200" s="187">
        <f>A1120</f>
        <v>101</v>
      </c>
      <c r="B1200" s="174" t="str">
        <f>B1120</f>
        <v>Negative</v>
      </c>
      <c r="C1200" s="174" t="str">
        <f>IF(INPUT!H66=2,"OF","BF")</f>
        <v>OF</v>
      </c>
      <c r="D1200" s="191" t="str">
        <f>IF(B1200="Positive",IF(C1200="OF",1,L960)*1*L1040*INPUT!AO66,"-")</f>
        <v>-</v>
      </c>
      <c r="E1200" s="191" t="e">
        <f>IF(B1200="Positive","-",M1120*SQRT(1-(K960/N1120)^2))</f>
        <v>#DIV/0!</v>
      </c>
      <c r="F1200" s="191" t="e">
        <f>IF(B1200="Positive",D1200,E1200)</f>
        <v>#DIV/0!</v>
      </c>
      <c r="G1200" s="191">
        <f>IF(B1200="Positive",L1040*INPUT!AP66*L960,IF(C1200="OF",L1040*INPUT!AO66,L1040*INPUT!AO66*L960))</f>
        <v>379.50847042889387</v>
      </c>
      <c r="H1200" s="191">
        <f>E537</f>
        <v>1554.726195337154</v>
      </c>
      <c r="I1200" s="191">
        <f>IF(B1200="Positive",F880+K880+H880+I880,F880+K880+D880)</f>
        <v>2834</v>
      </c>
      <c r="J1200" s="174">
        <f>N262</f>
        <v>49150.378220967606</v>
      </c>
      <c r="K1200" s="343">
        <f>1.3*L1040*M436</f>
        <v>54219.538332341341</v>
      </c>
      <c r="L1200" s="378">
        <f>MIN(IF(H1200&lt;=0.1*I1200,1,1.07-0.7*H1200/I1200)*J1200,K1200)</f>
        <v>33716.251777731406</v>
      </c>
      <c r="M1200" s="4"/>
      <c r="N1200" s="4"/>
    </row>
    <row r="1201">
      <c r="A1201" s="187">
        <f>A1121</f>
        <v>101</v>
      </c>
      <c r="B1201" s="174" t="str">
        <f>B1121</f>
        <v>Negative</v>
      </c>
      <c r="C1201" s="174" t="str">
        <f>IF(INPUT!H67=2,"OF","BF")</f>
        <v>OF</v>
      </c>
      <c r="D1201" s="191" t="str">
        <f>IF(B1201="Positive",IF(C1201="OF",1,L961)*1*L1041*INPUT!AO67,"-")</f>
        <v>-</v>
      </c>
      <c r="E1201" s="191" t="e">
        <f>IF(B1201="Positive","-",M1121*SQRT(1-(K961/N1121)^2))</f>
        <v>#DIV/0!</v>
      </c>
      <c r="F1201" s="191" t="e">
        <f>IF(B1201="Positive",D1201,E1201)</f>
        <v>#DIV/0!</v>
      </c>
      <c r="G1201" s="191">
        <f>IF(B1201="Positive",L1041*INPUT!AP67*L961,IF(C1201="OF",L1041*INPUT!AO67,L1041*INPUT!AO67*L961))</f>
        <v>379.50847042889387</v>
      </c>
      <c r="H1201" s="191">
        <f>E538</f>
        <v>1554.726195337154</v>
      </c>
      <c r="I1201" s="191">
        <f>IF(B1201="Positive",F881+K881+H881+I881,F881+K881+D881)</f>
        <v>2834</v>
      </c>
      <c r="J1201" s="174">
        <f>N263</f>
        <v>49150.378220967606</v>
      </c>
      <c r="K1201" s="343">
        <f>1.3*L1041*M437</f>
        <v>54219.538332341341</v>
      </c>
      <c r="L1201" s="378">
        <f>MIN(IF(H1201&lt;=0.1*I1201,1,1.07-0.7*H1201/I1201)*J1201,K1201)</f>
        <v>33716.251777731406</v>
      </c>
      <c r="M1201" s="4"/>
      <c r="N1201" s="4"/>
    </row>
    <row r="1202">
      <c r="A1202" s="187">
        <f>A1122</f>
        <v>101</v>
      </c>
      <c r="B1202" s="174" t="str">
        <f>B1122</f>
        <v>Negative</v>
      </c>
      <c r="C1202" s="174" t="str">
        <f>IF(INPUT!H68=2,"OF","BF")</f>
        <v>OF</v>
      </c>
      <c r="D1202" s="191" t="str">
        <f>IF(B1202="Positive",IF(C1202="OF",1,L962)*1*L1042*INPUT!AO68,"-")</f>
        <v>-</v>
      </c>
      <c r="E1202" s="191" t="e">
        <f>IF(B1202="Positive","-",M1122*SQRT(1-(K962/N1122)^2))</f>
        <v>#DIV/0!</v>
      </c>
      <c r="F1202" s="191" t="e">
        <f>IF(B1202="Positive",D1202,E1202)</f>
        <v>#DIV/0!</v>
      </c>
      <c r="G1202" s="191">
        <f>IF(B1202="Positive",L1042*INPUT!AP68*L962,IF(C1202="OF",L1042*INPUT!AO68,L1042*INPUT!AO68*L962))</f>
        <v>379.50847042889387</v>
      </c>
      <c r="H1202" s="191">
        <f>E539</f>
        <v>1554.726195337154</v>
      </c>
      <c r="I1202" s="191">
        <f>IF(B1202="Positive",F882+K882+H882+I882,F882+K882+D882)</f>
        <v>2834</v>
      </c>
      <c r="J1202" s="174">
        <f>N264</f>
        <v>49150.378220967606</v>
      </c>
      <c r="K1202" s="343">
        <f>1.3*L1042*M438</f>
        <v>54219.538332341341</v>
      </c>
      <c r="L1202" s="378">
        <f>MIN(IF(H1202&lt;=0.1*I1202,1,1.07-0.7*H1202/I1202)*J1202,K1202)</f>
        <v>33716.251777731406</v>
      </c>
      <c r="M1202" s="4"/>
      <c r="N1202" s="4"/>
    </row>
    <row r="1203">
      <c r="A1203" s="187">
        <f>A1123</f>
        <v>101</v>
      </c>
      <c r="B1203" s="174" t="str">
        <f>B1123</f>
        <v>Negative</v>
      </c>
      <c r="C1203" s="174" t="str">
        <f>IF(INPUT!H69=2,"OF","BF")</f>
        <v>OF</v>
      </c>
      <c r="D1203" s="191" t="str">
        <f>IF(B1203="Positive",IF(C1203="OF",1,L963)*1*L1043*INPUT!AO69,"-")</f>
        <v>-</v>
      </c>
      <c r="E1203" s="191" t="e">
        <f>IF(B1203="Positive","-",M1123*SQRT(1-(K963/N1123)^2))</f>
        <v>#DIV/0!</v>
      </c>
      <c r="F1203" s="191" t="e">
        <f>IF(B1203="Positive",D1203,E1203)</f>
        <v>#DIV/0!</v>
      </c>
      <c r="G1203" s="191">
        <f>IF(B1203="Positive",L1043*INPUT!AP69*L963,IF(C1203="OF",L1043*INPUT!AO69,L1043*INPUT!AO69*L963))</f>
        <v>379.50847042889387</v>
      </c>
      <c r="H1203" s="191">
        <f>E540</f>
        <v>1554.726195337154</v>
      </c>
      <c r="I1203" s="191">
        <f>IF(B1203="Positive",F883+K883+H883+I883,F883+K883+D883)</f>
        <v>2834</v>
      </c>
      <c r="J1203" s="174">
        <f>N265</f>
        <v>49150.378220967606</v>
      </c>
      <c r="K1203" s="343">
        <f>1.3*L1043*M439</f>
        <v>54219.538332341341</v>
      </c>
      <c r="L1203" s="378">
        <f>MIN(IF(H1203&lt;=0.1*I1203,1,1.07-0.7*H1203/I1203)*J1203,K1203)</f>
        <v>33716.251777731406</v>
      </c>
      <c r="M1203" s="4"/>
      <c r="N1203" s="4"/>
    </row>
    <row r="1204">
      <c r="A1204" s="187">
        <f>A1124</f>
        <v>101</v>
      </c>
      <c r="B1204" s="174" t="str">
        <f>B1124</f>
        <v>Negative</v>
      </c>
      <c r="C1204" s="174" t="str">
        <f>IF(INPUT!H70=2,"OF","BF")</f>
        <v>OF</v>
      </c>
      <c r="D1204" s="191" t="str">
        <f>IF(B1204="Positive",IF(C1204="OF",1,L964)*1*L1044*INPUT!AO70,"-")</f>
        <v>-</v>
      </c>
      <c r="E1204" s="191" t="e">
        <f>IF(B1204="Positive","-",M1124*SQRT(1-(K964/N1124)^2))</f>
        <v>#DIV/0!</v>
      </c>
      <c r="F1204" s="191" t="e">
        <f>IF(B1204="Positive",D1204,E1204)</f>
        <v>#DIV/0!</v>
      </c>
      <c r="G1204" s="191">
        <f>IF(B1204="Positive",L1044*INPUT!AP70*L964,IF(C1204="OF",L1044*INPUT!AO70,L1044*INPUT!AO70*L964))</f>
        <v>379.50847042889387</v>
      </c>
      <c r="H1204" s="191">
        <f>E541</f>
        <v>1554.726195337154</v>
      </c>
      <c r="I1204" s="191">
        <f>IF(B1204="Positive",F884+K884+H884+I884,F884+K884+D884)</f>
        <v>2834</v>
      </c>
      <c r="J1204" s="174">
        <f>N266</f>
        <v>49150.378220967606</v>
      </c>
      <c r="K1204" s="343">
        <f>1.3*L1044*M440</f>
        <v>54219.538332341341</v>
      </c>
      <c r="L1204" s="378">
        <f>MIN(IF(H1204&lt;=0.1*I1204,1,1.07-0.7*H1204/I1204)*J1204,K1204)</f>
        <v>33716.251777731406</v>
      </c>
      <c r="M1204" s="4"/>
      <c r="N1204" s="4"/>
    </row>
    <row r="1205">
      <c r="A1205" s="187">
        <f>A1125</f>
        <v>101</v>
      </c>
      <c r="B1205" s="174" t="str">
        <f>B1125</f>
        <v>Negative</v>
      </c>
      <c r="C1205" s="174" t="str">
        <f>IF(INPUT!H71=2,"OF","BF")</f>
        <v>OF</v>
      </c>
      <c r="D1205" s="191" t="str">
        <f>IF(B1205="Positive",IF(C1205="OF",1,L965)*1*L1045*INPUT!AO71,"-")</f>
        <v>-</v>
      </c>
      <c r="E1205" s="191" t="e">
        <f>IF(B1205="Positive","-",M1125*SQRT(1-(K965/N1125)^2))</f>
        <v>#DIV/0!</v>
      </c>
      <c r="F1205" s="191" t="e">
        <f>IF(B1205="Positive",D1205,E1205)</f>
        <v>#DIV/0!</v>
      </c>
      <c r="G1205" s="191">
        <f>IF(B1205="Positive",L1045*INPUT!AP71*L965,IF(C1205="OF",L1045*INPUT!AO71,L1045*INPUT!AO71*L965))</f>
        <v>379.50847042889387</v>
      </c>
      <c r="H1205" s="191">
        <f>E542</f>
        <v>1554.726195337154</v>
      </c>
      <c r="I1205" s="191">
        <f>IF(B1205="Positive",F885+K885+H885+I885,F885+K885+D885)</f>
        <v>2834</v>
      </c>
      <c r="J1205" s="174">
        <f>N267</f>
        <v>49150.378220967606</v>
      </c>
      <c r="K1205" s="343">
        <f>1.3*L1045*M441</f>
        <v>54219.538332341341</v>
      </c>
      <c r="L1205" s="378">
        <f>MIN(IF(H1205&lt;=0.1*I1205,1,1.07-0.7*H1205/I1205)*J1205,K1205)</f>
        <v>33716.251777731406</v>
      </c>
      <c r="M1205" s="4"/>
      <c r="N1205" s="4"/>
    </row>
    <row r="1206">
      <c r="A1206" s="187">
        <f>A1126</f>
        <v>101</v>
      </c>
      <c r="B1206" s="174" t="str">
        <f>B1126</f>
        <v>Negative</v>
      </c>
      <c r="C1206" s="174" t="str">
        <f>IF(INPUT!H72=2,"OF","BF")</f>
        <v>OF</v>
      </c>
      <c r="D1206" s="191" t="str">
        <f>IF(B1206="Positive",IF(C1206="OF",1,L966)*1*L1046*INPUT!AO72,"-")</f>
        <v>-</v>
      </c>
      <c r="E1206" s="191" t="e">
        <f>IF(B1206="Positive","-",M1126*SQRT(1-(K966/N1126)^2))</f>
        <v>#DIV/0!</v>
      </c>
      <c r="F1206" s="191" t="e">
        <f>IF(B1206="Positive",D1206,E1206)</f>
        <v>#DIV/0!</v>
      </c>
      <c r="G1206" s="191">
        <f>IF(B1206="Positive",L1046*INPUT!AP72*L966,IF(C1206="OF",L1046*INPUT!AO72,L1046*INPUT!AO72*L966))</f>
        <v>379.50847042889387</v>
      </c>
      <c r="H1206" s="191">
        <f>E543</f>
        <v>1554.726195337154</v>
      </c>
      <c r="I1206" s="191">
        <f>IF(B1206="Positive",F886+K886+H886+I886,F886+K886+D886)</f>
        <v>2834</v>
      </c>
      <c r="J1206" s="174">
        <f>N268</f>
        <v>49150.378220967606</v>
      </c>
      <c r="K1206" s="343">
        <f>1.3*L1046*M442</f>
        <v>54219.538332341341</v>
      </c>
      <c r="L1206" s="378">
        <f>MIN(IF(H1206&lt;=0.1*I1206,1,1.07-0.7*H1206/I1206)*J1206,K1206)</f>
        <v>33716.251777731406</v>
      </c>
      <c r="M1206" s="4"/>
      <c r="N1206" s="4"/>
    </row>
    <row r="1207">
      <c r="A1207" s="187">
        <f>A1127</f>
        <v>101</v>
      </c>
      <c r="B1207" s="174" t="str">
        <f>B1127</f>
        <v>Negative</v>
      </c>
      <c r="C1207" s="174" t="str">
        <f>IF(INPUT!H73=2,"OF","BF")</f>
        <v>OF</v>
      </c>
      <c r="D1207" s="191" t="str">
        <f>IF(B1207="Positive",IF(C1207="OF",1,L967)*1*L1047*INPUT!AO73,"-")</f>
        <v>-</v>
      </c>
      <c r="E1207" s="191" t="e">
        <f>IF(B1207="Positive","-",M1127*SQRT(1-(K967/N1127)^2))</f>
        <v>#DIV/0!</v>
      </c>
      <c r="F1207" s="191" t="e">
        <f>IF(B1207="Positive",D1207,E1207)</f>
        <v>#DIV/0!</v>
      </c>
      <c r="G1207" s="191">
        <f>IF(B1207="Positive",L1047*INPUT!AP73*L967,IF(C1207="OF",L1047*INPUT!AO73,L1047*INPUT!AO73*L967))</f>
        <v>379.50847042889387</v>
      </c>
      <c r="H1207" s="191">
        <f>E544</f>
        <v>1554.726195337154</v>
      </c>
      <c r="I1207" s="191">
        <f>IF(B1207="Positive",F887+K887+H887+I887,F887+K887+D887)</f>
        <v>2834</v>
      </c>
      <c r="J1207" s="174">
        <f>N269</f>
        <v>49150.378220967606</v>
      </c>
      <c r="K1207" s="343">
        <f>1.3*L1047*M443</f>
        <v>54219.538332341341</v>
      </c>
      <c r="L1207" s="378">
        <f>MIN(IF(H1207&lt;=0.1*I1207,1,1.07-0.7*H1207/I1207)*J1207,K1207)</f>
        <v>33716.251777731406</v>
      </c>
      <c r="M1207" s="4"/>
      <c r="N1207" s="4"/>
    </row>
    <row r="1208">
      <c r="A1208" s="187">
        <f>A1128</f>
        <v>101</v>
      </c>
      <c r="B1208" s="174" t="str">
        <f>B1128</f>
        <v>Negative</v>
      </c>
      <c r="C1208" s="174" t="str">
        <f>IF(INPUT!H74=2,"OF","BF")</f>
        <v>OF</v>
      </c>
      <c r="D1208" s="191" t="str">
        <f>IF(B1208="Positive",IF(C1208="OF",1,L968)*1*L1048*INPUT!AO74,"-")</f>
        <v>-</v>
      </c>
      <c r="E1208" s="191" t="e">
        <f>IF(B1208="Positive","-",M1128*SQRT(1-(K968/N1128)^2))</f>
        <v>#DIV/0!</v>
      </c>
      <c r="F1208" s="191" t="e">
        <f>IF(B1208="Positive",D1208,E1208)</f>
        <v>#DIV/0!</v>
      </c>
      <c r="G1208" s="191">
        <f>IF(B1208="Positive",L1048*INPUT!AP74*L968,IF(C1208="OF",L1048*INPUT!AO74,L1048*INPUT!AO74*L968))</f>
        <v>379.50847042889387</v>
      </c>
      <c r="H1208" s="191">
        <f>E545</f>
        <v>1554.726195337154</v>
      </c>
      <c r="I1208" s="191">
        <f>IF(B1208="Positive",F888+K888+H888+I888,F888+K888+D888)</f>
        <v>2834</v>
      </c>
      <c r="J1208" s="174">
        <f>N270</f>
        <v>49150.378220967606</v>
      </c>
      <c r="K1208" s="343">
        <f>1.3*L1048*M444</f>
        <v>54219.538332341341</v>
      </c>
      <c r="L1208" s="378">
        <f>MIN(IF(H1208&lt;=0.1*I1208,1,1.07-0.7*H1208/I1208)*J1208,K1208)</f>
        <v>33716.251777731406</v>
      </c>
      <c r="M1208" s="4"/>
      <c r="N1208" s="4"/>
    </row>
    <row r="1209">
      <c r="A1209" s="187">
        <f>A1129</f>
        <v>101</v>
      </c>
      <c r="B1209" s="174" t="str">
        <f>B1129</f>
        <v>Negative</v>
      </c>
      <c r="C1209" s="174" t="str">
        <f>IF(INPUT!H75=2,"OF","BF")</f>
        <v>OF</v>
      </c>
      <c r="D1209" s="191" t="str">
        <f>IF(B1209="Positive",IF(C1209="OF",1,L969)*1*L1049*INPUT!AO75,"-")</f>
        <v>-</v>
      </c>
      <c r="E1209" s="191" t="e">
        <f>IF(B1209="Positive","-",M1129*SQRT(1-(K969/N1129)^2))</f>
        <v>#DIV/0!</v>
      </c>
      <c r="F1209" s="191" t="e">
        <f>IF(B1209="Positive",D1209,E1209)</f>
        <v>#DIV/0!</v>
      </c>
      <c r="G1209" s="191">
        <f>IF(B1209="Positive",L1049*INPUT!AP75*L969,IF(C1209="OF",L1049*INPUT!AO75,L1049*INPUT!AO75*L969))</f>
        <v>379.50847042889387</v>
      </c>
      <c r="H1209" s="191">
        <f>E546</f>
        <v>1554.726195337154</v>
      </c>
      <c r="I1209" s="191">
        <f>IF(B1209="Positive",F889+K889+H889+I889,F889+K889+D889)</f>
        <v>2834</v>
      </c>
      <c r="J1209" s="174">
        <f>N271</f>
        <v>49150.378220967606</v>
      </c>
      <c r="K1209" s="343">
        <f>1.3*L1049*M445</f>
        <v>54219.538332341341</v>
      </c>
      <c r="L1209" s="378">
        <f>MIN(IF(H1209&lt;=0.1*I1209,1,1.07-0.7*H1209/I1209)*J1209,K1209)</f>
        <v>33716.251777731406</v>
      </c>
      <c r="M1209" s="4"/>
      <c r="N1209" s="4"/>
    </row>
    <row r="1210">
      <c r="A1210" s="187">
        <f>A1130</f>
        <v>101</v>
      </c>
      <c r="B1210" s="174" t="str">
        <f>B1130</f>
        <v>Negative</v>
      </c>
      <c r="C1210" s="174" t="str">
        <f>IF(INPUT!H76=2,"OF","BF")</f>
        <v>OF</v>
      </c>
      <c r="D1210" s="191" t="str">
        <f>IF(B1210="Positive",IF(C1210="OF",1,L970)*1*L1050*INPUT!AO76,"-")</f>
        <v>-</v>
      </c>
      <c r="E1210" s="191" t="e">
        <f>IF(B1210="Positive","-",M1130*SQRT(1-(K970/N1130)^2))</f>
        <v>#DIV/0!</v>
      </c>
      <c r="F1210" s="191" t="e">
        <f>IF(B1210="Positive",D1210,E1210)</f>
        <v>#DIV/0!</v>
      </c>
      <c r="G1210" s="191">
        <f>IF(B1210="Positive",L1050*INPUT!AP76*L970,IF(C1210="OF",L1050*INPUT!AO76,L1050*INPUT!AO76*L970))</f>
        <v>379.50847042889387</v>
      </c>
      <c r="H1210" s="191">
        <f>E547</f>
        <v>1554.726195337154</v>
      </c>
      <c r="I1210" s="191">
        <f>IF(B1210="Positive",F890+K890+H890+I890,F890+K890+D890)</f>
        <v>2834</v>
      </c>
      <c r="J1210" s="174">
        <f>N272</f>
        <v>49150.378220967606</v>
      </c>
      <c r="K1210" s="343">
        <f>1.3*L1050*M446</f>
        <v>54219.538332341341</v>
      </c>
      <c r="L1210" s="378">
        <f>MIN(IF(H1210&lt;=0.1*I1210,1,1.07-0.7*H1210/I1210)*J1210,K1210)</f>
        <v>33716.251777731406</v>
      </c>
      <c r="M1210" s="4"/>
      <c r="N1210" s="4"/>
    </row>
    <row r="1211">
      <c r="A1211" s="187">
        <f>A1131</f>
        <v>101</v>
      </c>
      <c r="B1211" s="174" t="str">
        <f>B1131</f>
        <v>Negative</v>
      </c>
      <c r="C1211" s="174" t="str">
        <f>IF(INPUT!H77=2,"OF","BF")</f>
        <v>OF</v>
      </c>
      <c r="D1211" s="191" t="str">
        <f>IF(B1211="Positive",IF(C1211="OF",1,L971)*1*L1051*INPUT!AO77,"-")</f>
        <v>-</v>
      </c>
      <c r="E1211" s="191" t="e">
        <f>IF(B1211="Positive","-",M1131*SQRT(1-(K971/N1131)^2))</f>
        <v>#DIV/0!</v>
      </c>
      <c r="F1211" s="191" t="e">
        <f>IF(B1211="Positive",D1211,E1211)</f>
        <v>#DIV/0!</v>
      </c>
      <c r="G1211" s="191">
        <f>IF(B1211="Positive",L1051*INPUT!AP77*L971,IF(C1211="OF",L1051*INPUT!AO77,L1051*INPUT!AO77*L971))</f>
        <v>379.50847042889387</v>
      </c>
      <c r="H1211" s="191">
        <f>E548</f>
        <v>1554.726195337154</v>
      </c>
      <c r="I1211" s="191">
        <f>IF(B1211="Positive",F891+K891+H891+I891,F891+K891+D891)</f>
        <v>2834</v>
      </c>
      <c r="J1211" s="174">
        <f>N273</f>
        <v>49150.378220967606</v>
      </c>
      <c r="K1211" s="343">
        <f>1.3*L1051*M447</f>
        <v>54219.538332341341</v>
      </c>
      <c r="L1211" s="378">
        <f>MIN(IF(H1211&lt;=0.1*I1211,1,1.07-0.7*H1211/I1211)*J1211,K1211)</f>
        <v>33716.251777731406</v>
      </c>
      <c r="M1211" s="4"/>
      <c r="N1211" s="4"/>
    </row>
    <row r="1212">
      <c r="A1212" s="187">
        <f>A1132</f>
        <v>101</v>
      </c>
      <c r="B1212" s="174" t="str">
        <f>B1132</f>
        <v>Negative</v>
      </c>
      <c r="C1212" s="174" t="str">
        <f>IF(INPUT!H78=2,"OF","BF")</f>
        <v>OF</v>
      </c>
      <c r="D1212" s="191" t="str">
        <f>IF(B1212="Positive",IF(C1212="OF",1,L972)*1*L1052*INPUT!AO78,"-")</f>
        <v>-</v>
      </c>
      <c r="E1212" s="191" t="e">
        <f>IF(B1212="Positive","-",M1132*SQRT(1-(K972/N1132)^2))</f>
        <v>#DIV/0!</v>
      </c>
      <c r="F1212" s="191" t="e">
        <f>IF(B1212="Positive",D1212,E1212)</f>
        <v>#DIV/0!</v>
      </c>
      <c r="G1212" s="191">
        <f>IF(B1212="Positive",L1052*INPUT!AP78*L972,IF(C1212="OF",L1052*INPUT!AO78,L1052*INPUT!AO78*L972))</f>
        <v>379.50847042889387</v>
      </c>
      <c r="H1212" s="191">
        <f>E549</f>
        <v>1554.726195337154</v>
      </c>
      <c r="I1212" s="191">
        <f>IF(B1212="Positive",F892+K892+H892+I892,F892+K892+D892)</f>
        <v>2834</v>
      </c>
      <c r="J1212" s="174">
        <f>N274</f>
        <v>49150.378220967606</v>
      </c>
      <c r="K1212" s="343">
        <f>1.3*L1052*M448</f>
        <v>54219.538332341341</v>
      </c>
      <c r="L1212" s="378">
        <f>MIN(IF(H1212&lt;=0.1*I1212,1,1.07-0.7*H1212/I1212)*J1212,K1212)</f>
        <v>33716.251777731406</v>
      </c>
      <c r="M1212" s="4"/>
      <c r="N1212" s="4"/>
    </row>
    <row r="1213" ht="15" customHeight="1" s="207" customFormat="1">
      <c r="C1213" s="312"/>
      <c r="D1213" s="312"/>
      <c r="E1213" s="312"/>
      <c r="F1213" s="312"/>
      <c r="G1213" s="312"/>
      <c r="H1213" s="312"/>
      <c r="I1213" s="133"/>
      <c r="J1213" s="133"/>
      <c r="K1213" s="133"/>
      <c r="L1213" s="133"/>
      <c r="M1213" s="4"/>
      <c r="O1213" s="350"/>
      <c r="P1213" s="367"/>
      <c r="Q1213" s="312"/>
      <c r="R1213" s="312"/>
      <c r="S1213" s="312"/>
      <c r="T1213" s="312"/>
      <c r="U1213" s="312"/>
      <c r="V1213" s="312"/>
      <c r="W1213" s="312"/>
      <c r="X1213" s="312"/>
      <c r="Y1213" s="300"/>
      <c r="Z1213" s="300"/>
      <c r="AA1213" s="312"/>
      <c r="AB1213" s="312"/>
      <c r="AC1213" s="312"/>
      <c r="AD1213" s="312"/>
      <c r="BK1213" s="4"/>
      <c r="BL1213" s="4"/>
      <c r="BM1213" s="4"/>
      <c r="BN1213" s="4"/>
      <c r="BO1213" s="4"/>
      <c r="BP1213" s="4"/>
      <c r="BQ1213" s="4"/>
      <c r="BR1213" s="4"/>
      <c r="BS1213" s="4"/>
      <c r="BT1213" s="4"/>
      <c r="BU1213" s="4"/>
      <c r="BV1213" s="4"/>
      <c r="BW1213" s="4"/>
      <c r="BX1213" s="4"/>
      <c r="BY1213" s="4"/>
      <c r="BZ1213" s="4"/>
      <c r="CA1213" s="4"/>
      <c r="CB1213" s="4"/>
      <c r="CC1213" s="4"/>
      <c r="CD1213" s="4"/>
      <c r="CE1213" s="4"/>
      <c r="CF1213" s="4"/>
      <c r="CG1213" s="4"/>
      <c r="CH1213" s="4"/>
      <c r="CI1213" s="4"/>
      <c r="CJ1213" s="4"/>
    </row>
    <row r="1214" ht="15" customHeight="1" s="4" customFormat="1">
      <c r="A1214" s="59" t="s">
        <v>946</v>
      </c>
      <c r="B1214" s="207"/>
      <c r="C1214" s="312"/>
      <c r="D1214" s="19"/>
      <c r="E1214" s="312"/>
      <c r="F1214" s="312"/>
      <c r="G1214" s="133"/>
      <c r="H1214" s="133"/>
      <c r="I1214" s="312"/>
      <c r="J1214" s="312"/>
      <c r="K1214" s="312"/>
      <c r="L1214" s="312"/>
      <c r="M1214" s="312"/>
      <c r="N1214" s="312"/>
      <c r="O1214" s="329"/>
      <c r="P1214" s="369"/>
      <c r="Q1214" s="312"/>
      <c r="R1214" s="312"/>
      <c r="S1214" s="312"/>
      <c r="T1214" s="312"/>
      <c r="U1214" s="312"/>
      <c r="V1214" s="312"/>
      <c r="W1214" s="312"/>
      <c r="X1214" s="312"/>
      <c r="Y1214" s="312"/>
      <c r="Z1214" s="312"/>
      <c r="AB1214" s="132"/>
      <c r="AC1214" s="132"/>
      <c r="AD1214" s="312"/>
      <c r="AE1214" s="207"/>
      <c r="AL1214" s="30"/>
      <c r="AM1214" s="30"/>
      <c r="AN1214" s="30"/>
      <c r="AO1214" s="30"/>
      <c r="AP1214" s="30"/>
      <c r="AR1214" s="296"/>
      <c r="AS1214" s="296"/>
      <c r="AT1214" s="296"/>
      <c r="AU1214" s="296"/>
      <c r="AV1214" s="296"/>
      <c r="AW1214" s="332"/>
      <c r="AX1214" s="296"/>
    </row>
    <row r="1215" ht="15" customHeight="1" s="4" customFormat="1">
      <c r="A1215" s="135" t="s">
        <v>230</v>
      </c>
      <c r="B1215" s="78" t="s">
        <v>947</v>
      </c>
      <c r="C1215" s="78" t="s">
        <v>18</v>
      </c>
      <c r="D1215" s="78" t="s">
        <v>497</v>
      </c>
      <c r="E1215" s="78" t="s">
        <v>948</v>
      </c>
      <c r="F1215" s="78" t="s">
        <v>910</v>
      </c>
      <c r="G1215" s="78" t="s">
        <v>32</v>
      </c>
      <c r="H1215" s="78" t="s">
        <v>913</v>
      </c>
      <c r="I1215" s="78" t="s">
        <v>949</v>
      </c>
      <c r="J1215" s="78" t="s">
        <v>916</v>
      </c>
      <c r="K1215" s="78" t="s">
        <v>353</v>
      </c>
      <c r="L1215" s="602" t="s">
        <v>950</v>
      </c>
      <c r="M1215" s="590"/>
      <c r="O1215" s="296"/>
      <c r="P1215" s="367"/>
      <c r="Q1215" s="312"/>
      <c r="R1215" s="312"/>
      <c r="S1215" s="312"/>
      <c r="T1215" s="312"/>
      <c r="U1215" s="312"/>
      <c r="V1215" s="312"/>
      <c r="W1215" s="312"/>
      <c r="X1215" s="312"/>
      <c r="Y1215" s="312"/>
      <c r="AA1215" s="132"/>
    </row>
    <row r="1216" ht="15" customHeight="1" s="4" customFormat="1">
      <c r="A1216" s="276"/>
      <c r="B1216" s="277" t="s">
        <v>250</v>
      </c>
      <c r="C1216" s="277"/>
      <c r="D1216" s="277"/>
      <c r="E1216" s="277"/>
      <c r="F1216" s="277"/>
      <c r="G1216" s="277"/>
      <c r="H1216" s="277"/>
      <c r="I1216" s="277"/>
      <c r="J1216" s="277"/>
      <c r="K1216" s="277"/>
      <c r="L1216" s="277"/>
      <c r="M1216" s="341"/>
      <c r="O1216" s="296"/>
      <c r="P1216" s="367"/>
      <c r="Q1216" s="312"/>
      <c r="R1216" s="312"/>
      <c r="S1216" s="312"/>
      <c r="T1216" s="312"/>
      <c r="U1216" s="312"/>
      <c r="V1216" s="312"/>
      <c r="W1216" s="312"/>
      <c r="X1216" s="312"/>
      <c r="Y1216" s="312"/>
      <c r="AA1216" s="132"/>
    </row>
    <row r="1217" ht="15" customHeight="1">
      <c r="A1217" s="187">
        <f>A1137</f>
        <v>101</v>
      </c>
      <c r="B1217" s="174" t="str">
        <f>B1137</f>
        <v>Negative</v>
      </c>
      <c r="C1217" s="174">
        <f>INPUT!G3</f>
        <v>0</v>
      </c>
      <c r="D1217" s="174">
        <f>IF(INPUT!AB3=1,0.2,IF(INPUT!AB3=2,0.25,0))*INPUT!N3</f>
        <v>700</v>
      </c>
      <c r="E1217" s="191">
        <f>INPUT!N3/COS(I1217)/INPUT!O3</f>
        <v>235.16819383874085</v>
      </c>
      <c r="F1217" s="174">
        <f>MAX(INPUT!X3,INPUT!Y3)-INPUT!U3</f>
        <v>3700</v>
      </c>
      <c r="G1217" s="174">
        <f>INPUT!U3</f>
        <v>2400</v>
      </c>
      <c r="H1217" s="174">
        <f>MAX(INPUT!V3,INPUT!W3)-INPUT!U3/2</f>
        <v>1200</v>
      </c>
      <c r="I1217" s="174">
        <f>INPUT!P3</f>
        <v>0.125</v>
      </c>
      <c r="J1217" s="191">
        <f>IF(OR(L199="1",L199="a"),M199,IF(OR(L199="b",L199="c",L199="d",L199="8"),H474-M199,0))/COS(I1217)</f>
        <v>1566.9520768766395</v>
      </c>
      <c r="K1217" s="343">
        <f>INPUT!O3</f>
        <v>12</v>
      </c>
      <c r="L1217" s="291" t="str">
        <f>IF(B1217="Positive",IF(C1217=0,(IF(AND(INPUT!AO3&lt;=455,INPUT!AQ3&lt;455,E1217&lt;=IF(D1217=0,1000,150),0.8*G1217&lt;=F1217,1.2*G1217&gt;=F1217,I1217&lt;=0.25,H1217&lt;=MIN(F1217,1800),2*J1217/K1217&lt;=3.76*SQRT(INPUT!$B$2/INPUT!AO3)),"compact","noncompact")),"noncompact"),"-")</f>
        <v>-</v>
      </c>
      <c r="M1217" s="379"/>
      <c r="N1217" s="4"/>
    </row>
    <row r="1218">
      <c r="A1218" s="187">
        <f>A1138</f>
        <v>101</v>
      </c>
      <c r="B1218" s="174" t="str">
        <f>B1138</f>
        <v>Negative</v>
      </c>
      <c r="C1218" s="174">
        <f>INPUT!G4</f>
        <v>0</v>
      </c>
      <c r="D1218" s="174">
        <f>IF(INPUT!AB4=1,0.2,IF(INPUT!AB4=2,0.25,0))*INPUT!N4</f>
        <v>700</v>
      </c>
      <c r="E1218" s="191">
        <f>INPUT!N4/COS(I1218)/INPUT!O4</f>
        <v>235.16819383874085</v>
      </c>
      <c r="F1218" s="174">
        <f>MAX(INPUT!X4,INPUT!Y4)-INPUT!U4</f>
        <v>3700</v>
      </c>
      <c r="G1218" s="174">
        <f>INPUT!U4</f>
        <v>2400</v>
      </c>
      <c r="H1218" s="174">
        <f>MAX(INPUT!V4,INPUT!W4)-INPUT!U4/2</f>
        <v>1200</v>
      </c>
      <c r="I1218" s="174">
        <f>INPUT!P4</f>
        <v>0.125</v>
      </c>
      <c r="J1218" s="191">
        <f>IF(OR(L200="1",L200="a"),M200,IF(OR(L200="b",L200="c",L200="d",L200="8"),H475-M200,0))/COS(I1218)</f>
        <v>1566.9520768766395</v>
      </c>
      <c r="K1218" s="343">
        <f>INPUT!O4</f>
        <v>12</v>
      </c>
      <c r="L1218" s="291" t="str">
        <f>IF(B1218="Positive",IF(C1218=0,(IF(AND(INPUT!AO4&lt;=455,INPUT!AQ4&lt;455,E1218&lt;=IF(D1218=0,1000,150),0.8*G1218&lt;=F1218,1.2*G1218&gt;=F1218,I1218&lt;=0.25,H1218&lt;=MIN(F1218,1800),2*J1218/K1218&lt;=3.76*SQRT(INPUT!$B$2/INPUT!AO4)),"compact","noncompact")),"noncompact"),"-")</f>
        <v>-</v>
      </c>
      <c r="M1218" s="379"/>
      <c r="N1218" s="4"/>
    </row>
    <row r="1219">
      <c r="A1219" s="187">
        <f>A1139</f>
        <v>101</v>
      </c>
      <c r="B1219" s="174" t="str">
        <f>B1139</f>
        <v>Negative</v>
      </c>
      <c r="C1219" s="174">
        <f>INPUT!G5</f>
        <v>0</v>
      </c>
      <c r="D1219" s="174">
        <f>IF(INPUT!AB5=1,0.2,IF(INPUT!AB5=2,0.25,0))*INPUT!N5</f>
        <v>700</v>
      </c>
      <c r="E1219" s="191">
        <f>INPUT!N5/COS(I1219)/INPUT!O5</f>
        <v>235.16819383874085</v>
      </c>
      <c r="F1219" s="174">
        <f>MAX(INPUT!X5,INPUT!Y5)-INPUT!U5</f>
        <v>3700</v>
      </c>
      <c r="G1219" s="174">
        <f>INPUT!U5</f>
        <v>2400</v>
      </c>
      <c r="H1219" s="174">
        <f>MAX(INPUT!V5,INPUT!W5)-INPUT!U5/2</f>
        <v>1200</v>
      </c>
      <c r="I1219" s="174">
        <f>INPUT!P5</f>
        <v>0.125</v>
      </c>
      <c r="J1219" s="191">
        <f>IF(OR(L201="1",L201="a"),M201,IF(OR(L201="b",L201="c",L201="d",L201="8"),H476-M201,0))/COS(I1219)</f>
        <v>1566.9520768766395</v>
      </c>
      <c r="K1219" s="343">
        <f>INPUT!O5</f>
        <v>12</v>
      </c>
      <c r="L1219" s="291" t="str">
        <f>IF(B1219="Positive",IF(C1219=0,(IF(AND(INPUT!AO5&lt;=455,INPUT!AQ5&lt;455,E1219&lt;=IF(D1219=0,1000,150),0.8*G1219&lt;=F1219,1.2*G1219&gt;=F1219,I1219&lt;=0.25,H1219&lt;=MIN(F1219,1800),2*J1219/K1219&lt;=3.76*SQRT(INPUT!$B$2/INPUT!AO5)),"compact","noncompact")),"noncompact"),"-")</f>
        <v>-</v>
      </c>
      <c r="M1219" s="379"/>
      <c r="N1219" s="4"/>
    </row>
    <row r="1220">
      <c r="A1220" s="187">
        <f>A1140</f>
        <v>101</v>
      </c>
      <c r="B1220" s="174" t="str">
        <f>B1140</f>
        <v>Negative</v>
      </c>
      <c r="C1220" s="174">
        <f>INPUT!G6</f>
        <v>0</v>
      </c>
      <c r="D1220" s="174">
        <f>IF(INPUT!AB6=1,0.2,IF(INPUT!AB6=2,0.25,0))*INPUT!N6</f>
        <v>700</v>
      </c>
      <c r="E1220" s="191">
        <f>INPUT!N6/COS(I1220)/INPUT!O6</f>
        <v>235.16819383874085</v>
      </c>
      <c r="F1220" s="174">
        <f>MAX(INPUT!X6,INPUT!Y6)-INPUT!U6</f>
        <v>3700</v>
      </c>
      <c r="G1220" s="174">
        <f>INPUT!U6</f>
        <v>2400</v>
      </c>
      <c r="H1220" s="174">
        <f>MAX(INPUT!V6,INPUT!W6)-INPUT!U6/2</f>
        <v>1200</v>
      </c>
      <c r="I1220" s="174">
        <f>INPUT!P6</f>
        <v>0.125</v>
      </c>
      <c r="J1220" s="191">
        <f>IF(OR(L202="1",L202="a"),M202,IF(OR(L202="b",L202="c",L202="d",L202="8"),H477-M202,0))/COS(I1220)</f>
        <v>1566.9520768766395</v>
      </c>
      <c r="K1220" s="343">
        <f>INPUT!O6</f>
        <v>12</v>
      </c>
      <c r="L1220" s="291" t="str">
        <f>IF(B1220="Positive",IF(C1220=0,(IF(AND(INPUT!AO6&lt;=455,INPUT!AQ6&lt;455,E1220&lt;=IF(D1220=0,1000,150),0.8*G1220&lt;=F1220,1.2*G1220&gt;=F1220,I1220&lt;=0.25,H1220&lt;=MIN(F1220,1800),2*J1220/K1220&lt;=3.76*SQRT(INPUT!$B$2/INPUT!AO6)),"compact","noncompact")),"noncompact"),"-")</f>
        <v>-</v>
      </c>
      <c r="M1220" s="379"/>
      <c r="N1220" s="4"/>
    </row>
    <row r="1221">
      <c r="A1221" s="187">
        <f>A1141</f>
        <v>101</v>
      </c>
      <c r="B1221" s="174" t="str">
        <f>B1141</f>
        <v>Negative</v>
      </c>
      <c r="C1221" s="174">
        <f>INPUT!G7</f>
        <v>0</v>
      </c>
      <c r="D1221" s="174">
        <f>IF(INPUT!AB7=1,0.2,IF(INPUT!AB7=2,0.25,0))*INPUT!N7</f>
        <v>700</v>
      </c>
      <c r="E1221" s="191">
        <f>INPUT!N7/COS(I1221)/INPUT!O7</f>
        <v>235.16819383874085</v>
      </c>
      <c r="F1221" s="174">
        <f>MAX(INPUT!X7,INPUT!Y7)-INPUT!U7</f>
        <v>3700</v>
      </c>
      <c r="G1221" s="174">
        <f>INPUT!U7</f>
        <v>2400</v>
      </c>
      <c r="H1221" s="174">
        <f>MAX(INPUT!V7,INPUT!W7)-INPUT!U7/2</f>
        <v>1200</v>
      </c>
      <c r="I1221" s="174">
        <f>INPUT!P7</f>
        <v>0.125</v>
      </c>
      <c r="J1221" s="191">
        <f>IF(OR(L203="1",L203="a"),M203,IF(OR(L203="b",L203="c",L203="d",L203="8"),H478-M203,0))/COS(I1221)</f>
        <v>1566.9520768766395</v>
      </c>
      <c r="K1221" s="343">
        <f>INPUT!O7</f>
        <v>12</v>
      </c>
      <c r="L1221" s="291" t="str">
        <f>IF(B1221="Positive",IF(C1221=0,(IF(AND(INPUT!AO7&lt;=455,INPUT!AQ7&lt;455,E1221&lt;=IF(D1221=0,1000,150),0.8*G1221&lt;=F1221,1.2*G1221&gt;=F1221,I1221&lt;=0.25,H1221&lt;=MIN(F1221,1800),2*J1221/K1221&lt;=3.76*SQRT(INPUT!$B$2/INPUT!AO7)),"compact","noncompact")),"noncompact"),"-")</f>
        <v>-</v>
      </c>
      <c r="M1221" s="379"/>
      <c r="N1221" s="4"/>
    </row>
    <row r="1222">
      <c r="A1222" s="187">
        <f>A1142</f>
        <v>101</v>
      </c>
      <c r="B1222" s="174" t="str">
        <f>B1142</f>
        <v>Negative</v>
      </c>
      <c r="C1222" s="174">
        <f>INPUT!G8</f>
        <v>0</v>
      </c>
      <c r="D1222" s="174">
        <f>IF(INPUT!AB8=1,0.2,IF(INPUT!AB8=2,0.25,0))*INPUT!N8</f>
        <v>700</v>
      </c>
      <c r="E1222" s="191">
        <f>INPUT!N8/COS(I1222)/INPUT!O8</f>
        <v>235.16819383874085</v>
      </c>
      <c r="F1222" s="174">
        <f>MAX(INPUT!X8,INPUT!Y8)-INPUT!U8</f>
        <v>3700</v>
      </c>
      <c r="G1222" s="174">
        <f>INPUT!U8</f>
        <v>2400</v>
      </c>
      <c r="H1222" s="174">
        <f>MAX(INPUT!V8,INPUT!W8)-INPUT!U8/2</f>
        <v>1200</v>
      </c>
      <c r="I1222" s="174">
        <f>INPUT!P8</f>
        <v>0.125</v>
      </c>
      <c r="J1222" s="191">
        <f>IF(OR(L204="1",L204="a"),M204,IF(OR(L204="b",L204="c",L204="d",L204="8"),H479-M204,0))/COS(I1222)</f>
        <v>1566.9520768766395</v>
      </c>
      <c r="K1222" s="343">
        <f>INPUT!O8</f>
        <v>12</v>
      </c>
      <c r="L1222" s="291" t="str">
        <f>IF(B1222="Positive",IF(C1222=0,(IF(AND(INPUT!AO8&lt;=455,INPUT!AQ8&lt;455,E1222&lt;=IF(D1222=0,1000,150),0.8*G1222&lt;=F1222,1.2*G1222&gt;=F1222,I1222&lt;=0.25,H1222&lt;=MIN(F1222,1800),2*J1222/K1222&lt;=3.76*SQRT(INPUT!$B$2/INPUT!AO8)),"compact","noncompact")),"noncompact"),"-")</f>
        <v>-</v>
      </c>
      <c r="M1222" s="379"/>
      <c r="N1222" s="4"/>
    </row>
    <row r="1223">
      <c r="A1223" s="187">
        <f>A1143</f>
        <v>101</v>
      </c>
      <c r="B1223" s="174" t="str">
        <f>B1143</f>
        <v>Negative</v>
      </c>
      <c r="C1223" s="174">
        <f>INPUT!G9</f>
        <v>0</v>
      </c>
      <c r="D1223" s="174">
        <f>IF(INPUT!AB9=1,0.2,IF(INPUT!AB9=2,0.25,0))*INPUT!N9</f>
        <v>700</v>
      </c>
      <c r="E1223" s="191">
        <f>INPUT!N9/COS(I1223)/INPUT!O9</f>
        <v>235.16819383874085</v>
      </c>
      <c r="F1223" s="174">
        <f>MAX(INPUT!X9,INPUT!Y9)-INPUT!U9</f>
        <v>3700</v>
      </c>
      <c r="G1223" s="174">
        <f>INPUT!U9</f>
        <v>2400</v>
      </c>
      <c r="H1223" s="174">
        <f>MAX(INPUT!V9,INPUT!W9)-INPUT!U9/2</f>
        <v>1200</v>
      </c>
      <c r="I1223" s="174">
        <f>INPUT!P9</f>
        <v>0.125</v>
      </c>
      <c r="J1223" s="191">
        <f>IF(OR(L205="1",L205="a"),M205,IF(OR(L205="b",L205="c",L205="d",L205="8"),H480-M205,0))/COS(I1223)</f>
        <v>1566.9520768766395</v>
      </c>
      <c r="K1223" s="343">
        <f>INPUT!O9</f>
        <v>12</v>
      </c>
      <c r="L1223" s="291" t="str">
        <f>IF(B1223="Positive",IF(C1223=0,(IF(AND(INPUT!AO9&lt;=455,INPUT!AQ9&lt;455,E1223&lt;=IF(D1223=0,1000,150),0.8*G1223&lt;=F1223,1.2*G1223&gt;=F1223,I1223&lt;=0.25,H1223&lt;=MIN(F1223,1800),2*J1223/K1223&lt;=3.76*SQRT(INPUT!$B$2/INPUT!AO9)),"compact","noncompact")),"noncompact"),"-")</f>
        <v>-</v>
      </c>
      <c r="M1223" s="379"/>
      <c r="N1223" s="4"/>
    </row>
    <row r="1224">
      <c r="A1224" s="187">
        <f>A1144</f>
        <v>101</v>
      </c>
      <c r="B1224" s="174" t="str">
        <f>B1144</f>
        <v>Negative</v>
      </c>
      <c r="C1224" s="174">
        <f>INPUT!G10</f>
        <v>0</v>
      </c>
      <c r="D1224" s="174">
        <f>IF(INPUT!AB10=1,0.2,IF(INPUT!AB10=2,0.25,0))*INPUT!N10</f>
        <v>700</v>
      </c>
      <c r="E1224" s="191">
        <f>INPUT!N10/COS(I1224)/INPUT!O10</f>
        <v>235.16819383874085</v>
      </c>
      <c r="F1224" s="174">
        <f>MAX(INPUT!X10,INPUT!Y10)-INPUT!U10</f>
        <v>3700</v>
      </c>
      <c r="G1224" s="174">
        <f>INPUT!U10</f>
        <v>2400</v>
      </c>
      <c r="H1224" s="174">
        <f>MAX(INPUT!V10,INPUT!W10)-INPUT!U10/2</f>
        <v>1200</v>
      </c>
      <c r="I1224" s="174">
        <f>INPUT!P10</f>
        <v>0.125</v>
      </c>
      <c r="J1224" s="191">
        <f>IF(OR(L206="1",L206="a"),M206,IF(OR(L206="b",L206="c",L206="d",L206="8"),H481-M206,0))/COS(I1224)</f>
        <v>1566.9520768766395</v>
      </c>
      <c r="K1224" s="343">
        <f>INPUT!O10</f>
        <v>12</v>
      </c>
      <c r="L1224" s="291" t="str">
        <f>IF(B1224="Positive",IF(C1224=0,(IF(AND(INPUT!AO10&lt;=455,INPUT!AQ10&lt;455,E1224&lt;=IF(D1224=0,1000,150),0.8*G1224&lt;=F1224,1.2*G1224&gt;=F1224,I1224&lt;=0.25,H1224&lt;=MIN(F1224,1800),2*J1224/K1224&lt;=3.76*SQRT(INPUT!$B$2/INPUT!AO10)),"compact","noncompact")),"noncompact"),"-")</f>
        <v>-</v>
      </c>
      <c r="M1224" s="379"/>
      <c r="N1224" s="4"/>
    </row>
    <row r="1225">
      <c r="A1225" s="187">
        <f>A1145</f>
        <v>101</v>
      </c>
      <c r="B1225" s="174" t="str">
        <f>B1145</f>
        <v>Negative</v>
      </c>
      <c r="C1225" s="174">
        <f>INPUT!G11</f>
        <v>0</v>
      </c>
      <c r="D1225" s="174">
        <f>IF(INPUT!AB11=1,0.2,IF(INPUT!AB11=2,0.25,0))*INPUT!N11</f>
        <v>700</v>
      </c>
      <c r="E1225" s="191">
        <f>INPUT!N11/COS(I1225)/INPUT!O11</f>
        <v>235.16819383874085</v>
      </c>
      <c r="F1225" s="174">
        <f>MAX(INPUT!X11,INPUT!Y11)-INPUT!U11</f>
        <v>3700</v>
      </c>
      <c r="G1225" s="174">
        <f>INPUT!U11</f>
        <v>2400</v>
      </c>
      <c r="H1225" s="174">
        <f>MAX(INPUT!V11,INPUT!W11)-INPUT!U11/2</f>
        <v>1200</v>
      </c>
      <c r="I1225" s="174">
        <f>INPUT!P11</f>
        <v>0.125</v>
      </c>
      <c r="J1225" s="191">
        <f>IF(OR(L207="1",L207="a"),M207,IF(OR(L207="b",L207="c",L207="d",L207="8"),H482-M207,0))/COS(I1225)</f>
        <v>1566.9520768766395</v>
      </c>
      <c r="K1225" s="343">
        <f>INPUT!O11</f>
        <v>12</v>
      </c>
      <c r="L1225" s="291" t="str">
        <f>IF(B1225="Positive",IF(C1225=0,(IF(AND(INPUT!AO11&lt;=455,INPUT!AQ11&lt;455,E1225&lt;=IF(D1225=0,1000,150),0.8*G1225&lt;=F1225,1.2*G1225&gt;=F1225,I1225&lt;=0.25,H1225&lt;=MIN(F1225,1800),2*J1225/K1225&lt;=3.76*SQRT(INPUT!$B$2/INPUT!AO11)),"compact","noncompact")),"noncompact"),"-")</f>
        <v>-</v>
      </c>
      <c r="M1225" s="379"/>
      <c r="N1225" s="4"/>
    </row>
    <row r="1226">
      <c r="A1226" s="187">
        <f>A1146</f>
        <v>101</v>
      </c>
      <c r="B1226" s="174" t="str">
        <f>B1146</f>
        <v>Negative</v>
      </c>
      <c r="C1226" s="174">
        <f>INPUT!G12</f>
        <v>0</v>
      </c>
      <c r="D1226" s="174">
        <f>IF(INPUT!AB12=1,0.2,IF(INPUT!AB12=2,0.25,0))*INPUT!N12</f>
        <v>700</v>
      </c>
      <c r="E1226" s="191">
        <f>INPUT!N12/COS(I1226)/INPUT!O12</f>
        <v>235.16819383874085</v>
      </c>
      <c r="F1226" s="174">
        <f>MAX(INPUT!X12,INPUT!Y12)-INPUT!U12</f>
        <v>3700</v>
      </c>
      <c r="G1226" s="174">
        <f>INPUT!U12</f>
        <v>2400</v>
      </c>
      <c r="H1226" s="174">
        <f>MAX(INPUT!V12,INPUT!W12)-INPUT!U12/2</f>
        <v>1200</v>
      </c>
      <c r="I1226" s="174">
        <f>INPUT!P12</f>
        <v>0.125</v>
      </c>
      <c r="J1226" s="191">
        <f>IF(OR(L208="1",L208="a"),M208,IF(OR(L208="b",L208="c",L208="d",L208="8"),H483-M208,0))/COS(I1226)</f>
        <v>1566.9520768766395</v>
      </c>
      <c r="K1226" s="343">
        <f>INPUT!O12</f>
        <v>12</v>
      </c>
      <c r="L1226" s="291" t="str">
        <f>IF(B1226="Positive",IF(C1226=0,(IF(AND(INPUT!AO12&lt;=455,INPUT!AQ12&lt;455,E1226&lt;=IF(D1226=0,1000,150),0.8*G1226&lt;=F1226,1.2*G1226&gt;=F1226,I1226&lt;=0.25,H1226&lt;=MIN(F1226,1800),2*J1226/K1226&lt;=3.76*SQRT(INPUT!$B$2/INPUT!AO12)),"compact","noncompact")),"noncompact"),"-")</f>
        <v>-</v>
      </c>
      <c r="M1226" s="379"/>
      <c r="N1226" s="4"/>
    </row>
    <row r="1227">
      <c r="A1227" s="187">
        <f>A1147</f>
        <v>101</v>
      </c>
      <c r="B1227" s="174" t="str">
        <f>B1147</f>
        <v>Negative</v>
      </c>
      <c r="C1227" s="174">
        <f>INPUT!G13</f>
        <v>0</v>
      </c>
      <c r="D1227" s="174">
        <f>IF(INPUT!AB13=1,0.2,IF(INPUT!AB13=2,0.25,0))*INPUT!N13</f>
        <v>700</v>
      </c>
      <c r="E1227" s="191">
        <f>INPUT!N13/COS(I1227)/INPUT!O13</f>
        <v>235.16819383874085</v>
      </c>
      <c r="F1227" s="174">
        <f>MAX(INPUT!X13,INPUT!Y13)-INPUT!U13</f>
        <v>3700</v>
      </c>
      <c r="G1227" s="174">
        <f>INPUT!U13</f>
        <v>2400</v>
      </c>
      <c r="H1227" s="174">
        <f>MAX(INPUT!V13,INPUT!W13)-INPUT!U13/2</f>
        <v>1200</v>
      </c>
      <c r="I1227" s="174">
        <f>INPUT!P13</f>
        <v>0.125</v>
      </c>
      <c r="J1227" s="191">
        <f>IF(OR(L209="1",L209="a"),M209,IF(OR(L209="b",L209="c",L209="d",L209="8"),H484-M209,0))/COS(I1227)</f>
        <v>1566.9520768766395</v>
      </c>
      <c r="K1227" s="343">
        <f>INPUT!O13</f>
        <v>12</v>
      </c>
      <c r="L1227" s="291" t="str">
        <f>IF(B1227="Positive",IF(C1227=0,(IF(AND(INPUT!AO13&lt;=455,INPUT!AQ13&lt;455,E1227&lt;=IF(D1227=0,1000,150),0.8*G1227&lt;=F1227,1.2*G1227&gt;=F1227,I1227&lt;=0.25,H1227&lt;=MIN(F1227,1800),2*J1227/K1227&lt;=3.76*SQRT(INPUT!$B$2/INPUT!AO13)),"compact","noncompact")),"noncompact"),"-")</f>
        <v>-</v>
      </c>
      <c r="M1227" s="379"/>
      <c r="N1227" s="4"/>
    </row>
    <row r="1228">
      <c r="A1228" s="187">
        <f>A1148</f>
        <v>101</v>
      </c>
      <c r="B1228" s="174" t="str">
        <f>B1148</f>
        <v>Negative</v>
      </c>
      <c r="C1228" s="174">
        <f>INPUT!G14</f>
        <v>0</v>
      </c>
      <c r="D1228" s="174">
        <f>IF(INPUT!AB14=1,0.2,IF(INPUT!AB14=2,0.25,0))*INPUT!N14</f>
        <v>700</v>
      </c>
      <c r="E1228" s="191">
        <f>INPUT!N14/COS(I1228)/INPUT!O14</f>
        <v>235.16819383874085</v>
      </c>
      <c r="F1228" s="174">
        <f>MAX(INPUT!X14,INPUT!Y14)-INPUT!U14</f>
        <v>3700</v>
      </c>
      <c r="G1228" s="174">
        <f>INPUT!U14</f>
        <v>2400</v>
      </c>
      <c r="H1228" s="174">
        <f>MAX(INPUT!V14,INPUT!W14)-INPUT!U14/2</f>
        <v>1200</v>
      </c>
      <c r="I1228" s="174">
        <f>INPUT!P14</f>
        <v>0.125</v>
      </c>
      <c r="J1228" s="191">
        <f>IF(OR(L210="1",L210="a"),M210,IF(OR(L210="b",L210="c",L210="d",L210="8"),H485-M210,0))/COS(I1228)</f>
        <v>1566.9520768766395</v>
      </c>
      <c r="K1228" s="343">
        <f>INPUT!O14</f>
        <v>12</v>
      </c>
      <c r="L1228" s="291" t="str">
        <f>IF(B1228="Positive",IF(C1228=0,(IF(AND(INPUT!AO14&lt;=455,INPUT!AQ14&lt;455,E1228&lt;=IF(D1228=0,1000,150),0.8*G1228&lt;=F1228,1.2*G1228&gt;=F1228,I1228&lt;=0.25,H1228&lt;=MIN(F1228,1800),2*J1228/K1228&lt;=3.76*SQRT(INPUT!$B$2/INPUT!AO14)),"compact","noncompact")),"noncompact"),"-")</f>
        <v>-</v>
      </c>
      <c r="M1228" s="379"/>
      <c r="N1228" s="4"/>
    </row>
    <row r="1229">
      <c r="A1229" s="187">
        <f>A1149</f>
        <v>101</v>
      </c>
      <c r="B1229" s="174" t="str">
        <f>B1149</f>
        <v>Negative</v>
      </c>
      <c r="C1229" s="174">
        <f>INPUT!G15</f>
        <v>0</v>
      </c>
      <c r="D1229" s="174">
        <f>IF(INPUT!AB15=1,0.2,IF(INPUT!AB15=2,0.25,0))*INPUT!N15</f>
        <v>700</v>
      </c>
      <c r="E1229" s="191">
        <f>INPUT!N15/COS(I1229)/INPUT!O15</f>
        <v>235.16819383874085</v>
      </c>
      <c r="F1229" s="174">
        <f>MAX(INPUT!X15,INPUT!Y15)-INPUT!U15</f>
        <v>3700</v>
      </c>
      <c r="G1229" s="174">
        <f>INPUT!U15</f>
        <v>2400</v>
      </c>
      <c r="H1229" s="174">
        <f>MAX(INPUT!V15,INPUT!W15)-INPUT!U15/2</f>
        <v>1200</v>
      </c>
      <c r="I1229" s="174">
        <f>INPUT!P15</f>
        <v>0.125</v>
      </c>
      <c r="J1229" s="191">
        <f>IF(OR(L211="1",L211="a"),M211,IF(OR(L211="b",L211="c",L211="d",L211="8"),H486-M211,0))/COS(I1229)</f>
        <v>1566.9520768766395</v>
      </c>
      <c r="K1229" s="343">
        <f>INPUT!O15</f>
        <v>12</v>
      </c>
      <c r="L1229" s="291" t="str">
        <f>IF(B1229="Positive",IF(C1229=0,(IF(AND(INPUT!AO15&lt;=455,INPUT!AQ15&lt;455,E1229&lt;=IF(D1229=0,1000,150),0.8*G1229&lt;=F1229,1.2*G1229&gt;=F1229,I1229&lt;=0.25,H1229&lt;=MIN(F1229,1800),2*J1229/K1229&lt;=3.76*SQRT(INPUT!$B$2/INPUT!AO15)),"compact","noncompact")),"noncompact"),"-")</f>
        <v>-</v>
      </c>
      <c r="M1229" s="379"/>
      <c r="N1229" s="4"/>
    </row>
    <row r="1230">
      <c r="A1230" s="187">
        <f>A1150</f>
        <v>101</v>
      </c>
      <c r="B1230" s="174" t="str">
        <f>B1150</f>
        <v>Negative</v>
      </c>
      <c r="C1230" s="174">
        <f>INPUT!G16</f>
        <v>0</v>
      </c>
      <c r="D1230" s="174">
        <f>IF(INPUT!AB16=1,0.2,IF(INPUT!AB16=2,0.25,0))*INPUT!N16</f>
        <v>700</v>
      </c>
      <c r="E1230" s="191">
        <f>INPUT!N16/COS(I1230)/INPUT!O16</f>
        <v>235.16819383874085</v>
      </c>
      <c r="F1230" s="174">
        <f>MAX(INPUT!X16,INPUT!Y16)-INPUT!U16</f>
        <v>3700</v>
      </c>
      <c r="G1230" s="174">
        <f>INPUT!U16</f>
        <v>2400</v>
      </c>
      <c r="H1230" s="174">
        <f>MAX(INPUT!V16,INPUT!W16)-INPUT!U16/2</f>
        <v>1200</v>
      </c>
      <c r="I1230" s="174">
        <f>INPUT!P16</f>
        <v>0.125</v>
      </c>
      <c r="J1230" s="191">
        <f>IF(OR(L212="1",L212="a"),M212,IF(OR(L212="b",L212="c",L212="d",L212="8"),H487-M212,0))/COS(I1230)</f>
        <v>1566.9520768766395</v>
      </c>
      <c r="K1230" s="343">
        <f>INPUT!O16</f>
        <v>12</v>
      </c>
      <c r="L1230" s="291" t="str">
        <f>IF(B1230="Positive",IF(C1230=0,(IF(AND(INPUT!AO16&lt;=455,INPUT!AQ16&lt;455,E1230&lt;=IF(D1230=0,1000,150),0.8*G1230&lt;=F1230,1.2*G1230&gt;=F1230,I1230&lt;=0.25,H1230&lt;=MIN(F1230,1800),2*J1230/K1230&lt;=3.76*SQRT(INPUT!$B$2/INPUT!AO16)),"compact","noncompact")),"noncompact"),"-")</f>
        <v>-</v>
      </c>
      <c r="M1230" s="379"/>
      <c r="N1230" s="4"/>
    </row>
    <row r="1231">
      <c r="A1231" s="187">
        <f>A1151</f>
        <v>101</v>
      </c>
      <c r="B1231" s="174" t="str">
        <f>B1151</f>
        <v>Negative</v>
      </c>
      <c r="C1231" s="174">
        <f>INPUT!G17</f>
        <v>0</v>
      </c>
      <c r="D1231" s="174">
        <f>IF(INPUT!AB17=1,0.2,IF(INPUT!AB17=2,0.25,0))*INPUT!N17</f>
        <v>700</v>
      </c>
      <c r="E1231" s="191">
        <f>INPUT!N17/COS(I1231)/INPUT!O17</f>
        <v>235.16819383874085</v>
      </c>
      <c r="F1231" s="174">
        <f>MAX(INPUT!X17,INPUT!Y17)-INPUT!U17</f>
        <v>3700</v>
      </c>
      <c r="G1231" s="174">
        <f>INPUT!U17</f>
        <v>2400</v>
      </c>
      <c r="H1231" s="174">
        <f>MAX(INPUT!V17,INPUT!W17)-INPUT!U17/2</f>
        <v>1200</v>
      </c>
      <c r="I1231" s="174">
        <f>INPUT!P17</f>
        <v>0.125</v>
      </c>
      <c r="J1231" s="191">
        <f>IF(OR(L213="1",L213="a"),M213,IF(OR(L213="b",L213="c",L213="d",L213="8"),H488-M213,0))/COS(I1231)</f>
        <v>1566.9520768766395</v>
      </c>
      <c r="K1231" s="343">
        <f>INPUT!O17</f>
        <v>12</v>
      </c>
      <c r="L1231" s="291" t="str">
        <f>IF(B1231="Positive",IF(C1231=0,(IF(AND(INPUT!AO17&lt;=455,INPUT!AQ17&lt;455,E1231&lt;=IF(D1231=0,1000,150),0.8*G1231&lt;=F1231,1.2*G1231&gt;=F1231,I1231&lt;=0.25,H1231&lt;=MIN(F1231,1800),2*J1231/K1231&lt;=3.76*SQRT(INPUT!$B$2/INPUT!AO17)),"compact","noncompact")),"noncompact"),"-")</f>
        <v>-</v>
      </c>
      <c r="M1231" s="379"/>
      <c r="N1231" s="4"/>
    </row>
    <row r="1232">
      <c r="A1232" s="187">
        <f>A1152</f>
        <v>101</v>
      </c>
      <c r="B1232" s="174" t="str">
        <f>B1152</f>
        <v>Negative</v>
      </c>
      <c r="C1232" s="174">
        <f>INPUT!G18</f>
        <v>0</v>
      </c>
      <c r="D1232" s="174">
        <f>IF(INPUT!AB18=1,0.2,IF(INPUT!AB18=2,0.25,0))*INPUT!N18</f>
        <v>700</v>
      </c>
      <c r="E1232" s="191">
        <f>INPUT!N18/COS(I1232)/INPUT!O18</f>
        <v>235.16819383874085</v>
      </c>
      <c r="F1232" s="174">
        <f>MAX(INPUT!X18,INPUT!Y18)-INPUT!U18</f>
        <v>3700</v>
      </c>
      <c r="G1232" s="174">
        <f>INPUT!U18</f>
        <v>2400</v>
      </c>
      <c r="H1232" s="174">
        <f>MAX(INPUT!V18,INPUT!W18)-INPUT!U18/2</f>
        <v>1200</v>
      </c>
      <c r="I1232" s="174">
        <f>INPUT!P18</f>
        <v>0.125</v>
      </c>
      <c r="J1232" s="191">
        <f>IF(OR(L214="1",L214="a"),M214,IF(OR(L214="b",L214="c",L214="d",L214="8"),H489-M214,0))/COS(I1232)</f>
        <v>1566.9520768766395</v>
      </c>
      <c r="K1232" s="343">
        <f>INPUT!O18</f>
        <v>12</v>
      </c>
      <c r="L1232" s="291" t="str">
        <f>IF(B1232="Positive",IF(C1232=0,(IF(AND(INPUT!AO18&lt;=455,INPUT!AQ18&lt;455,E1232&lt;=IF(D1232=0,1000,150),0.8*G1232&lt;=F1232,1.2*G1232&gt;=F1232,I1232&lt;=0.25,H1232&lt;=MIN(F1232,1800),2*J1232/K1232&lt;=3.76*SQRT(INPUT!$B$2/INPUT!AO18)),"compact","noncompact")),"noncompact"),"-")</f>
        <v>-</v>
      </c>
      <c r="M1232" s="379"/>
      <c r="N1232" s="4"/>
    </row>
    <row r="1233">
      <c r="A1233" s="187">
        <f>A1153</f>
        <v>101</v>
      </c>
      <c r="B1233" s="174" t="str">
        <f>B1153</f>
        <v>Negative</v>
      </c>
      <c r="C1233" s="174">
        <f>INPUT!G19</f>
        <v>0</v>
      </c>
      <c r="D1233" s="174">
        <f>IF(INPUT!AB19=1,0.2,IF(INPUT!AB19=2,0.25,0))*INPUT!N19</f>
        <v>700</v>
      </c>
      <c r="E1233" s="191">
        <f>INPUT!N19/COS(I1233)/INPUT!O19</f>
        <v>235.16819383874085</v>
      </c>
      <c r="F1233" s="174">
        <f>MAX(INPUT!X19,INPUT!Y19)-INPUT!U19</f>
        <v>3700</v>
      </c>
      <c r="G1233" s="174">
        <f>INPUT!U19</f>
        <v>2400</v>
      </c>
      <c r="H1233" s="174">
        <f>MAX(INPUT!V19,INPUT!W19)-INPUT!U19/2</f>
        <v>1200</v>
      </c>
      <c r="I1233" s="174">
        <f>INPUT!P19</f>
        <v>0.125</v>
      </c>
      <c r="J1233" s="191">
        <f>IF(OR(L215="1",L215="a"),M215,IF(OR(L215="b",L215="c",L215="d",L215="8"),H490-M215,0))/COS(I1233)</f>
        <v>1566.9520768766395</v>
      </c>
      <c r="K1233" s="343">
        <f>INPUT!O19</f>
        <v>12</v>
      </c>
      <c r="L1233" s="291" t="str">
        <f>IF(B1233="Positive",IF(C1233=0,(IF(AND(INPUT!AO19&lt;=455,INPUT!AQ19&lt;455,E1233&lt;=IF(D1233=0,1000,150),0.8*G1233&lt;=F1233,1.2*G1233&gt;=F1233,I1233&lt;=0.25,H1233&lt;=MIN(F1233,1800),2*J1233/K1233&lt;=3.76*SQRT(INPUT!$B$2/INPUT!AO19)),"compact","noncompact")),"noncompact"),"-")</f>
        <v>-</v>
      </c>
      <c r="M1233" s="379"/>
      <c r="N1233" s="4"/>
    </row>
    <row r="1234">
      <c r="A1234" s="187">
        <f>A1154</f>
        <v>101</v>
      </c>
      <c r="B1234" s="174" t="str">
        <f>B1154</f>
        <v>Negative</v>
      </c>
      <c r="C1234" s="174">
        <f>INPUT!G20</f>
        <v>0</v>
      </c>
      <c r="D1234" s="174">
        <f>IF(INPUT!AB20=1,0.2,IF(INPUT!AB20=2,0.25,0))*INPUT!N20</f>
        <v>700</v>
      </c>
      <c r="E1234" s="191">
        <f>INPUT!N20/COS(I1234)/INPUT!O20</f>
        <v>235.16819383874085</v>
      </c>
      <c r="F1234" s="174">
        <f>MAX(INPUT!X20,INPUT!Y20)-INPUT!U20</f>
        <v>3700</v>
      </c>
      <c r="G1234" s="174">
        <f>INPUT!U20</f>
        <v>2400</v>
      </c>
      <c r="H1234" s="174">
        <f>MAX(INPUT!V20,INPUT!W20)-INPUT!U20/2</f>
        <v>1200</v>
      </c>
      <c r="I1234" s="174">
        <f>INPUT!P20</f>
        <v>0.125</v>
      </c>
      <c r="J1234" s="191">
        <f>IF(OR(L216="1",L216="a"),M216,IF(OR(L216="b",L216="c",L216="d",L216="8"),H491-M216,0))/COS(I1234)</f>
        <v>1566.9520768766395</v>
      </c>
      <c r="K1234" s="343">
        <f>INPUT!O20</f>
        <v>12</v>
      </c>
      <c r="L1234" s="291" t="str">
        <f>IF(B1234="Positive",IF(C1234=0,(IF(AND(INPUT!AO20&lt;=455,INPUT!AQ20&lt;455,E1234&lt;=IF(D1234=0,1000,150),0.8*G1234&lt;=F1234,1.2*G1234&gt;=F1234,I1234&lt;=0.25,H1234&lt;=MIN(F1234,1800),2*J1234/K1234&lt;=3.76*SQRT(INPUT!$B$2/INPUT!AO20)),"compact","noncompact")),"noncompact"),"-")</f>
        <v>-</v>
      </c>
      <c r="M1234" s="379"/>
      <c r="N1234" s="4"/>
    </row>
    <row r="1235">
      <c r="A1235" s="187">
        <f>A1155</f>
        <v>101</v>
      </c>
      <c r="B1235" s="174" t="str">
        <f>B1155</f>
        <v>Negative</v>
      </c>
      <c r="C1235" s="174">
        <f>INPUT!G21</f>
        <v>0</v>
      </c>
      <c r="D1235" s="174">
        <f>IF(INPUT!AB21=1,0.2,IF(INPUT!AB21=2,0.25,0))*INPUT!N21</f>
        <v>700</v>
      </c>
      <c r="E1235" s="191">
        <f>INPUT!N21/COS(I1235)/INPUT!O21</f>
        <v>235.16819383874085</v>
      </c>
      <c r="F1235" s="174">
        <f>MAX(INPUT!X21,INPUT!Y21)-INPUT!U21</f>
        <v>3700</v>
      </c>
      <c r="G1235" s="174">
        <f>INPUT!U21</f>
        <v>2400</v>
      </c>
      <c r="H1235" s="174">
        <f>MAX(INPUT!V21,INPUT!W21)-INPUT!U21/2</f>
        <v>1200</v>
      </c>
      <c r="I1235" s="174">
        <f>INPUT!P21</f>
        <v>0.125</v>
      </c>
      <c r="J1235" s="191">
        <f>IF(OR(L217="1",L217="a"),M217,IF(OR(L217="b",L217="c",L217="d",L217="8"),H492-M217,0))/COS(I1235)</f>
        <v>1566.9520768766395</v>
      </c>
      <c r="K1235" s="343">
        <f>INPUT!O21</f>
        <v>12</v>
      </c>
      <c r="L1235" s="291" t="str">
        <f>IF(B1235="Positive",IF(C1235=0,(IF(AND(INPUT!AO21&lt;=455,INPUT!AQ21&lt;455,E1235&lt;=IF(D1235=0,1000,150),0.8*G1235&lt;=F1235,1.2*G1235&gt;=F1235,I1235&lt;=0.25,H1235&lt;=MIN(F1235,1800),2*J1235/K1235&lt;=3.76*SQRT(INPUT!$B$2/INPUT!AO21)),"compact","noncompact")),"noncompact"),"-")</f>
        <v>-</v>
      </c>
      <c r="M1235" s="379"/>
      <c r="N1235" s="4"/>
    </row>
    <row r="1236">
      <c r="A1236" s="187">
        <f>A1156</f>
        <v>101</v>
      </c>
      <c r="B1236" s="174" t="str">
        <f>B1156</f>
        <v>Negative</v>
      </c>
      <c r="C1236" s="174">
        <f>INPUT!G22</f>
        <v>0</v>
      </c>
      <c r="D1236" s="174">
        <f>IF(INPUT!AB22=1,0.2,IF(INPUT!AB22=2,0.25,0))*INPUT!N22</f>
        <v>700</v>
      </c>
      <c r="E1236" s="191">
        <f>INPUT!N22/COS(I1236)/INPUT!O22</f>
        <v>235.16819383874085</v>
      </c>
      <c r="F1236" s="174">
        <f>MAX(INPUT!X22,INPUT!Y22)-INPUT!U22</f>
        <v>3700</v>
      </c>
      <c r="G1236" s="174">
        <f>INPUT!U22</f>
        <v>2400</v>
      </c>
      <c r="H1236" s="174">
        <f>MAX(INPUT!V22,INPUT!W22)-INPUT!U22/2</f>
        <v>1200</v>
      </c>
      <c r="I1236" s="174">
        <f>INPUT!P22</f>
        <v>0.125</v>
      </c>
      <c r="J1236" s="191">
        <f>IF(OR(L218="1",L218="a"),M218,IF(OR(L218="b",L218="c",L218="d",L218="8"),H493-M218,0))/COS(I1236)</f>
        <v>1566.9520768766395</v>
      </c>
      <c r="K1236" s="343">
        <f>INPUT!O22</f>
        <v>12</v>
      </c>
      <c r="L1236" s="291" t="str">
        <f>IF(B1236="Positive",IF(C1236=0,(IF(AND(INPUT!AO22&lt;=455,INPUT!AQ22&lt;455,E1236&lt;=IF(D1236=0,1000,150),0.8*G1236&lt;=F1236,1.2*G1236&gt;=F1236,I1236&lt;=0.25,H1236&lt;=MIN(F1236,1800),2*J1236/K1236&lt;=3.76*SQRT(INPUT!$B$2/INPUT!AO22)),"compact","noncompact")),"noncompact"),"-")</f>
        <v>-</v>
      </c>
      <c r="M1236" s="379"/>
      <c r="N1236" s="4"/>
    </row>
    <row r="1237">
      <c r="A1237" s="187">
        <f>A1157</f>
        <v>101</v>
      </c>
      <c r="B1237" s="174" t="str">
        <f>B1157</f>
        <v>Negative</v>
      </c>
      <c r="C1237" s="174">
        <f>INPUT!G23</f>
        <v>0</v>
      </c>
      <c r="D1237" s="174">
        <f>IF(INPUT!AB23=1,0.2,IF(INPUT!AB23=2,0.25,0))*INPUT!N23</f>
        <v>700</v>
      </c>
      <c r="E1237" s="191">
        <f>INPUT!N23/COS(I1237)/INPUT!O23</f>
        <v>235.16819383874085</v>
      </c>
      <c r="F1237" s="174">
        <f>MAX(INPUT!X23,INPUT!Y23)-INPUT!U23</f>
        <v>3700</v>
      </c>
      <c r="G1237" s="174">
        <f>INPUT!U23</f>
        <v>2400</v>
      </c>
      <c r="H1237" s="174">
        <f>MAX(INPUT!V23,INPUT!W23)-INPUT!U23/2</f>
        <v>1200</v>
      </c>
      <c r="I1237" s="174">
        <f>INPUT!P23</f>
        <v>0.125</v>
      </c>
      <c r="J1237" s="191">
        <f>IF(OR(L219="1",L219="a"),M219,IF(OR(L219="b",L219="c",L219="d",L219="8"),H494-M219,0))/COS(I1237)</f>
        <v>1566.9520768766395</v>
      </c>
      <c r="K1237" s="343">
        <f>INPUT!O23</f>
        <v>12</v>
      </c>
      <c r="L1237" s="291" t="str">
        <f>IF(B1237="Positive",IF(C1237=0,(IF(AND(INPUT!AO23&lt;=455,INPUT!AQ23&lt;455,E1237&lt;=IF(D1237=0,1000,150),0.8*G1237&lt;=F1237,1.2*G1237&gt;=F1237,I1237&lt;=0.25,H1237&lt;=MIN(F1237,1800),2*J1237/K1237&lt;=3.76*SQRT(INPUT!$B$2/INPUT!AO23)),"compact","noncompact")),"noncompact"),"-")</f>
        <v>-</v>
      </c>
      <c r="M1237" s="379"/>
      <c r="N1237" s="4"/>
    </row>
    <row r="1238">
      <c r="A1238" s="187">
        <f>A1158</f>
        <v>101</v>
      </c>
      <c r="B1238" s="174" t="str">
        <f>B1158</f>
        <v>Negative</v>
      </c>
      <c r="C1238" s="174">
        <f>INPUT!G24</f>
        <v>0</v>
      </c>
      <c r="D1238" s="174">
        <f>IF(INPUT!AB24=1,0.2,IF(INPUT!AB24=2,0.25,0))*INPUT!N24</f>
        <v>700</v>
      </c>
      <c r="E1238" s="191">
        <f>INPUT!N24/COS(I1238)/INPUT!O24</f>
        <v>235.16819383874085</v>
      </c>
      <c r="F1238" s="174">
        <f>MAX(INPUT!X24,INPUT!Y24)-INPUT!U24</f>
        <v>3700</v>
      </c>
      <c r="G1238" s="174">
        <f>INPUT!U24</f>
        <v>2400</v>
      </c>
      <c r="H1238" s="174">
        <f>MAX(INPUT!V24,INPUT!W24)-INPUT!U24/2</f>
        <v>1200</v>
      </c>
      <c r="I1238" s="174">
        <f>INPUT!P24</f>
        <v>0.125</v>
      </c>
      <c r="J1238" s="191">
        <f>IF(OR(L220="1",L220="a"),M220,IF(OR(L220="b",L220="c",L220="d",L220="8"),H495-M220,0))/COS(I1238)</f>
        <v>1566.9520768766395</v>
      </c>
      <c r="K1238" s="343">
        <f>INPUT!O24</f>
        <v>12</v>
      </c>
      <c r="L1238" s="291" t="str">
        <f>IF(B1238="Positive",IF(C1238=0,(IF(AND(INPUT!AO24&lt;=455,INPUT!AQ24&lt;455,E1238&lt;=IF(D1238=0,1000,150),0.8*G1238&lt;=F1238,1.2*G1238&gt;=F1238,I1238&lt;=0.25,H1238&lt;=MIN(F1238,1800),2*J1238/K1238&lt;=3.76*SQRT(INPUT!$B$2/INPUT!AO24)),"compact","noncompact")),"noncompact"),"-")</f>
        <v>-</v>
      </c>
      <c r="M1238" s="379"/>
      <c r="N1238" s="4"/>
    </row>
    <row r="1239">
      <c r="A1239" s="187">
        <f>A1159</f>
        <v>101</v>
      </c>
      <c r="B1239" s="174" t="str">
        <f>B1159</f>
        <v>Negative</v>
      </c>
      <c r="C1239" s="174">
        <f>INPUT!G25</f>
        <v>0</v>
      </c>
      <c r="D1239" s="174">
        <f>IF(INPUT!AB25=1,0.2,IF(INPUT!AB25=2,0.25,0))*INPUT!N25</f>
        <v>700</v>
      </c>
      <c r="E1239" s="191">
        <f>INPUT!N25/COS(I1239)/INPUT!O25</f>
        <v>235.16819383874085</v>
      </c>
      <c r="F1239" s="174">
        <f>MAX(INPUT!X25,INPUT!Y25)-INPUT!U25</f>
        <v>3700</v>
      </c>
      <c r="G1239" s="174">
        <f>INPUT!U25</f>
        <v>2400</v>
      </c>
      <c r="H1239" s="174">
        <f>MAX(INPUT!V25,INPUT!W25)-INPUT!U25/2</f>
        <v>1200</v>
      </c>
      <c r="I1239" s="174">
        <f>INPUT!P25</f>
        <v>0.125</v>
      </c>
      <c r="J1239" s="191">
        <f>IF(OR(L221="1",L221="a"),M221,IF(OR(L221="b",L221="c",L221="d",L221="8"),H496-M221,0))/COS(I1239)</f>
        <v>1566.9520768766395</v>
      </c>
      <c r="K1239" s="343">
        <f>INPUT!O25</f>
        <v>12</v>
      </c>
      <c r="L1239" s="291" t="str">
        <f>IF(B1239="Positive",IF(C1239=0,(IF(AND(INPUT!AO25&lt;=455,INPUT!AQ25&lt;455,E1239&lt;=IF(D1239=0,1000,150),0.8*G1239&lt;=F1239,1.2*G1239&gt;=F1239,I1239&lt;=0.25,H1239&lt;=MIN(F1239,1800),2*J1239/K1239&lt;=3.76*SQRT(INPUT!$B$2/INPUT!AO25)),"compact","noncompact")),"noncompact"),"-")</f>
        <v>-</v>
      </c>
      <c r="M1239" s="379"/>
      <c r="N1239" s="4"/>
    </row>
    <row r="1240">
      <c r="A1240" s="187">
        <f>A1160</f>
        <v>101</v>
      </c>
      <c r="B1240" s="174" t="str">
        <f>B1160</f>
        <v>Negative</v>
      </c>
      <c r="C1240" s="174">
        <f>INPUT!G26</f>
        <v>0</v>
      </c>
      <c r="D1240" s="174">
        <f>IF(INPUT!AB26=1,0.2,IF(INPUT!AB26=2,0.25,0))*INPUT!N26</f>
        <v>700</v>
      </c>
      <c r="E1240" s="191">
        <f>INPUT!N26/COS(I1240)/INPUT!O26</f>
        <v>235.16819383874085</v>
      </c>
      <c r="F1240" s="174">
        <f>MAX(INPUT!X26,INPUT!Y26)-INPUT!U26</f>
        <v>3700</v>
      </c>
      <c r="G1240" s="174">
        <f>INPUT!U26</f>
        <v>2400</v>
      </c>
      <c r="H1240" s="174">
        <f>MAX(INPUT!V26,INPUT!W26)-INPUT!U26/2</f>
        <v>1200</v>
      </c>
      <c r="I1240" s="174">
        <f>INPUT!P26</f>
        <v>0.125</v>
      </c>
      <c r="J1240" s="191">
        <f>IF(OR(L222="1",L222="a"),M222,IF(OR(L222="b",L222="c",L222="d",L222="8"),H497-M222,0))/COS(I1240)</f>
        <v>1566.9520768766395</v>
      </c>
      <c r="K1240" s="343">
        <f>INPUT!O26</f>
        <v>12</v>
      </c>
      <c r="L1240" s="291" t="str">
        <f>IF(B1240="Positive",IF(C1240=0,(IF(AND(INPUT!AO26&lt;=455,INPUT!AQ26&lt;455,E1240&lt;=IF(D1240=0,1000,150),0.8*G1240&lt;=F1240,1.2*G1240&gt;=F1240,I1240&lt;=0.25,H1240&lt;=MIN(F1240,1800),2*J1240/K1240&lt;=3.76*SQRT(INPUT!$B$2/INPUT!AO26)),"compact","noncompact")),"noncompact"),"-")</f>
        <v>-</v>
      </c>
      <c r="M1240" s="379"/>
      <c r="N1240" s="4"/>
    </row>
    <row r="1241">
      <c r="A1241" s="187">
        <f>A1161</f>
        <v>101</v>
      </c>
      <c r="B1241" s="174" t="str">
        <f>B1161</f>
        <v>Negative</v>
      </c>
      <c r="C1241" s="174">
        <f>INPUT!G27</f>
        <v>0</v>
      </c>
      <c r="D1241" s="174">
        <f>IF(INPUT!AB27=1,0.2,IF(INPUT!AB27=2,0.25,0))*INPUT!N27</f>
        <v>700</v>
      </c>
      <c r="E1241" s="191">
        <f>INPUT!N27/COS(I1241)/INPUT!O27</f>
        <v>235.16819383874085</v>
      </c>
      <c r="F1241" s="174">
        <f>MAX(INPUT!X27,INPUT!Y27)-INPUT!U27</f>
        <v>3700</v>
      </c>
      <c r="G1241" s="174">
        <f>INPUT!U27</f>
        <v>2400</v>
      </c>
      <c r="H1241" s="174">
        <f>MAX(INPUT!V27,INPUT!W27)-INPUT!U27/2</f>
        <v>1200</v>
      </c>
      <c r="I1241" s="174">
        <f>INPUT!P27</f>
        <v>0.125</v>
      </c>
      <c r="J1241" s="191">
        <f>IF(OR(L223="1",L223="a"),M223,IF(OR(L223="b",L223="c",L223="d",L223="8"),H498-M223,0))/COS(I1241)</f>
        <v>1566.9520768766395</v>
      </c>
      <c r="K1241" s="343">
        <f>INPUT!O27</f>
        <v>12</v>
      </c>
      <c r="L1241" s="291" t="str">
        <f>IF(B1241="Positive",IF(C1241=0,(IF(AND(INPUT!AO27&lt;=455,INPUT!AQ27&lt;455,E1241&lt;=IF(D1241=0,1000,150),0.8*G1241&lt;=F1241,1.2*G1241&gt;=F1241,I1241&lt;=0.25,H1241&lt;=MIN(F1241,1800),2*J1241/K1241&lt;=3.76*SQRT(INPUT!$B$2/INPUT!AO27)),"compact","noncompact")),"noncompact"),"-")</f>
        <v>-</v>
      </c>
      <c r="M1241" s="379"/>
      <c r="N1241" s="4"/>
    </row>
    <row r="1242">
      <c r="A1242" s="187">
        <f>A1162</f>
        <v>101</v>
      </c>
      <c r="B1242" s="174" t="str">
        <f>B1162</f>
        <v>Negative</v>
      </c>
      <c r="C1242" s="174">
        <f>INPUT!G28</f>
        <v>0</v>
      </c>
      <c r="D1242" s="174">
        <f>IF(INPUT!AB28=1,0.2,IF(INPUT!AB28=2,0.25,0))*INPUT!N28</f>
        <v>700</v>
      </c>
      <c r="E1242" s="191">
        <f>INPUT!N28/COS(I1242)/INPUT!O28</f>
        <v>235.16819383874085</v>
      </c>
      <c r="F1242" s="174">
        <f>MAX(INPUT!X28,INPUT!Y28)-INPUT!U28</f>
        <v>3700</v>
      </c>
      <c r="G1242" s="174">
        <f>INPUT!U28</f>
        <v>2400</v>
      </c>
      <c r="H1242" s="174">
        <f>MAX(INPUT!V28,INPUT!W28)-INPUT!U28/2</f>
        <v>1200</v>
      </c>
      <c r="I1242" s="174">
        <f>INPUT!P28</f>
        <v>0.125</v>
      </c>
      <c r="J1242" s="191">
        <f>IF(OR(L224="1",L224="a"),M224,IF(OR(L224="b",L224="c",L224="d",L224="8"),H499-M224,0))/COS(I1242)</f>
        <v>1566.9520768766395</v>
      </c>
      <c r="K1242" s="343">
        <f>INPUT!O28</f>
        <v>12</v>
      </c>
      <c r="L1242" s="291" t="str">
        <f>IF(B1242="Positive",IF(C1242=0,(IF(AND(INPUT!AO28&lt;=455,INPUT!AQ28&lt;455,E1242&lt;=IF(D1242=0,1000,150),0.8*G1242&lt;=F1242,1.2*G1242&gt;=F1242,I1242&lt;=0.25,H1242&lt;=MIN(F1242,1800),2*J1242/K1242&lt;=3.76*SQRT(INPUT!$B$2/INPUT!AO28)),"compact","noncompact")),"noncompact"),"-")</f>
        <v>-</v>
      </c>
      <c r="M1242" s="379"/>
      <c r="N1242" s="4"/>
    </row>
    <row r="1243">
      <c r="A1243" s="187">
        <f>A1163</f>
        <v>101</v>
      </c>
      <c r="B1243" s="174" t="str">
        <f>B1163</f>
        <v>Negative</v>
      </c>
      <c r="C1243" s="174">
        <f>INPUT!G29</f>
        <v>0</v>
      </c>
      <c r="D1243" s="174">
        <f>IF(INPUT!AB29=1,0.2,IF(INPUT!AB29=2,0.25,0))*INPUT!N29</f>
        <v>700</v>
      </c>
      <c r="E1243" s="191">
        <f>INPUT!N29/COS(I1243)/INPUT!O29</f>
        <v>235.16819383874085</v>
      </c>
      <c r="F1243" s="174">
        <f>MAX(INPUT!X29,INPUT!Y29)-INPUT!U29</f>
        <v>3700</v>
      </c>
      <c r="G1243" s="174">
        <f>INPUT!U29</f>
        <v>2400</v>
      </c>
      <c r="H1243" s="174">
        <f>MAX(INPUT!V29,INPUT!W29)-INPUT!U29/2</f>
        <v>1200</v>
      </c>
      <c r="I1243" s="174">
        <f>INPUT!P29</f>
        <v>0.125</v>
      </c>
      <c r="J1243" s="191">
        <f>IF(OR(L225="1",L225="a"),M225,IF(OR(L225="b",L225="c",L225="d",L225="8"),H500-M225,0))/COS(I1243)</f>
        <v>1566.9520768766395</v>
      </c>
      <c r="K1243" s="343">
        <f>INPUT!O29</f>
        <v>12</v>
      </c>
      <c r="L1243" s="291" t="str">
        <f>IF(B1243="Positive",IF(C1243=0,(IF(AND(INPUT!AO29&lt;=455,INPUT!AQ29&lt;455,E1243&lt;=IF(D1243=0,1000,150),0.8*G1243&lt;=F1243,1.2*G1243&gt;=F1243,I1243&lt;=0.25,H1243&lt;=MIN(F1243,1800),2*J1243/K1243&lt;=3.76*SQRT(INPUT!$B$2/INPUT!AO29)),"compact","noncompact")),"noncompact"),"-")</f>
        <v>-</v>
      </c>
      <c r="M1243" s="379"/>
      <c r="N1243" s="4"/>
    </row>
    <row r="1244">
      <c r="A1244" s="187">
        <f>A1164</f>
        <v>101</v>
      </c>
      <c r="B1244" s="174" t="str">
        <f>B1164</f>
        <v>Negative</v>
      </c>
      <c r="C1244" s="174">
        <f>INPUT!G30</f>
        <v>0</v>
      </c>
      <c r="D1244" s="174">
        <f>IF(INPUT!AB30=1,0.2,IF(INPUT!AB30=2,0.25,0))*INPUT!N30</f>
        <v>700</v>
      </c>
      <c r="E1244" s="191">
        <f>INPUT!N30/COS(I1244)/INPUT!O30</f>
        <v>235.16819383874085</v>
      </c>
      <c r="F1244" s="174">
        <f>MAX(INPUT!X30,INPUT!Y30)-INPUT!U30</f>
        <v>3700</v>
      </c>
      <c r="G1244" s="174">
        <f>INPUT!U30</f>
        <v>2400</v>
      </c>
      <c r="H1244" s="174">
        <f>MAX(INPUT!V30,INPUT!W30)-INPUT!U30/2</f>
        <v>1200</v>
      </c>
      <c r="I1244" s="174">
        <f>INPUT!P30</f>
        <v>0.125</v>
      </c>
      <c r="J1244" s="191">
        <f>IF(OR(L226="1",L226="a"),M226,IF(OR(L226="b",L226="c",L226="d",L226="8"),H501-M226,0))/COS(I1244)</f>
        <v>1566.9520768766395</v>
      </c>
      <c r="K1244" s="343">
        <f>INPUT!O30</f>
        <v>12</v>
      </c>
      <c r="L1244" s="291" t="str">
        <f>IF(B1244="Positive",IF(C1244=0,(IF(AND(INPUT!AO30&lt;=455,INPUT!AQ30&lt;455,E1244&lt;=IF(D1244=0,1000,150),0.8*G1244&lt;=F1244,1.2*G1244&gt;=F1244,I1244&lt;=0.25,H1244&lt;=MIN(F1244,1800),2*J1244/K1244&lt;=3.76*SQRT(INPUT!$B$2/INPUT!AO30)),"compact","noncompact")),"noncompact"),"-")</f>
        <v>-</v>
      </c>
      <c r="M1244" s="379"/>
      <c r="N1244" s="4"/>
    </row>
    <row r="1245">
      <c r="A1245" s="187">
        <f>A1165</f>
        <v>101</v>
      </c>
      <c r="B1245" s="174" t="str">
        <f>B1165</f>
        <v>Negative</v>
      </c>
      <c r="C1245" s="174">
        <f>INPUT!G31</f>
        <v>0</v>
      </c>
      <c r="D1245" s="174">
        <f>IF(INPUT!AB31=1,0.2,IF(INPUT!AB31=2,0.25,0))*INPUT!N31</f>
        <v>700</v>
      </c>
      <c r="E1245" s="191">
        <f>INPUT!N31/COS(I1245)/INPUT!O31</f>
        <v>235.16819383874085</v>
      </c>
      <c r="F1245" s="174">
        <f>MAX(INPUT!X31,INPUT!Y31)-INPUT!U31</f>
        <v>3700</v>
      </c>
      <c r="G1245" s="174">
        <f>INPUT!U31</f>
        <v>2400</v>
      </c>
      <c r="H1245" s="174">
        <f>MAX(INPUT!V31,INPUT!W31)-INPUT!U31/2</f>
        <v>1200</v>
      </c>
      <c r="I1245" s="174">
        <f>INPUT!P31</f>
        <v>0.125</v>
      </c>
      <c r="J1245" s="191">
        <f>IF(OR(L227="1",L227="a"),M227,IF(OR(L227="b",L227="c",L227="d",L227="8"),H502-M227,0))/COS(I1245)</f>
        <v>1566.9520768766395</v>
      </c>
      <c r="K1245" s="343">
        <f>INPUT!O31</f>
        <v>12</v>
      </c>
      <c r="L1245" s="291" t="str">
        <f>IF(B1245="Positive",IF(C1245=0,(IF(AND(INPUT!AO31&lt;=455,INPUT!AQ31&lt;455,E1245&lt;=IF(D1245=0,1000,150),0.8*G1245&lt;=F1245,1.2*G1245&gt;=F1245,I1245&lt;=0.25,H1245&lt;=MIN(F1245,1800),2*J1245/K1245&lt;=3.76*SQRT(INPUT!$B$2/INPUT!AO31)),"compact","noncompact")),"noncompact"),"-")</f>
        <v>-</v>
      </c>
      <c r="M1245" s="379"/>
      <c r="N1245" s="4"/>
    </row>
    <row r="1246">
      <c r="A1246" s="187">
        <f>A1166</f>
        <v>101</v>
      </c>
      <c r="B1246" s="174" t="str">
        <f>B1166</f>
        <v>Negative</v>
      </c>
      <c r="C1246" s="174">
        <f>INPUT!G32</f>
        <v>0</v>
      </c>
      <c r="D1246" s="174">
        <f>IF(INPUT!AB32=1,0.2,IF(INPUT!AB32=2,0.25,0))*INPUT!N32</f>
        <v>700</v>
      </c>
      <c r="E1246" s="191">
        <f>INPUT!N32/COS(I1246)/INPUT!O32</f>
        <v>235.16819383874085</v>
      </c>
      <c r="F1246" s="174">
        <f>MAX(INPUT!X32,INPUT!Y32)-INPUT!U32</f>
        <v>3700</v>
      </c>
      <c r="G1246" s="174">
        <f>INPUT!U32</f>
        <v>2400</v>
      </c>
      <c r="H1246" s="174">
        <f>MAX(INPUT!V32,INPUT!W32)-INPUT!U32/2</f>
        <v>1200</v>
      </c>
      <c r="I1246" s="174">
        <f>INPUT!P32</f>
        <v>0.125</v>
      </c>
      <c r="J1246" s="191">
        <f>IF(OR(L228="1",L228="a"),M228,IF(OR(L228="b",L228="c",L228="d",L228="8"),H503-M228,0))/COS(I1246)</f>
        <v>1566.9520768766395</v>
      </c>
      <c r="K1246" s="343">
        <f>INPUT!O32</f>
        <v>12</v>
      </c>
      <c r="L1246" s="291" t="str">
        <f>IF(B1246="Positive",IF(C1246=0,(IF(AND(INPUT!AO32&lt;=455,INPUT!AQ32&lt;455,E1246&lt;=IF(D1246=0,1000,150),0.8*G1246&lt;=F1246,1.2*G1246&gt;=F1246,I1246&lt;=0.25,H1246&lt;=MIN(F1246,1800),2*J1246/K1246&lt;=3.76*SQRT(INPUT!$B$2/INPUT!AO32)),"compact","noncompact")),"noncompact"),"-")</f>
        <v>-</v>
      </c>
      <c r="M1246" s="379"/>
      <c r="N1246" s="4"/>
    </row>
    <row r="1247">
      <c r="A1247" s="187">
        <f>A1167</f>
        <v>101</v>
      </c>
      <c r="B1247" s="174" t="str">
        <f>B1167</f>
        <v>Negative</v>
      </c>
      <c r="C1247" s="174">
        <f>INPUT!G33</f>
        <v>0</v>
      </c>
      <c r="D1247" s="174">
        <f>IF(INPUT!AB33=1,0.2,IF(INPUT!AB33=2,0.25,0))*INPUT!N33</f>
        <v>700</v>
      </c>
      <c r="E1247" s="191">
        <f>INPUT!N33/COS(I1247)/INPUT!O33</f>
        <v>235.16819383874085</v>
      </c>
      <c r="F1247" s="174">
        <f>MAX(INPUT!X33,INPUT!Y33)-INPUT!U33</f>
        <v>3700</v>
      </c>
      <c r="G1247" s="174">
        <f>INPUT!U33</f>
        <v>2400</v>
      </c>
      <c r="H1247" s="174">
        <f>MAX(INPUT!V33,INPUT!W33)-INPUT!U33/2</f>
        <v>1200</v>
      </c>
      <c r="I1247" s="174">
        <f>INPUT!P33</f>
        <v>0.125</v>
      </c>
      <c r="J1247" s="191">
        <f>IF(OR(L229="1",L229="a"),M229,IF(OR(L229="b",L229="c",L229="d",L229="8"),H504-M229,0))/COS(I1247)</f>
        <v>1566.9520768766395</v>
      </c>
      <c r="K1247" s="343">
        <f>INPUT!O33</f>
        <v>12</v>
      </c>
      <c r="L1247" s="291" t="str">
        <f>IF(B1247="Positive",IF(C1247=0,(IF(AND(INPUT!AO33&lt;=455,INPUT!AQ33&lt;455,E1247&lt;=IF(D1247=0,1000,150),0.8*G1247&lt;=F1247,1.2*G1247&gt;=F1247,I1247&lt;=0.25,H1247&lt;=MIN(F1247,1800),2*J1247/K1247&lt;=3.76*SQRT(INPUT!$B$2/INPUT!AO33)),"compact","noncompact")),"noncompact"),"-")</f>
        <v>-</v>
      </c>
      <c r="M1247" s="379"/>
      <c r="N1247" s="4"/>
    </row>
    <row r="1248">
      <c r="A1248" s="187">
        <f>A1168</f>
        <v>101</v>
      </c>
      <c r="B1248" s="174" t="str">
        <f>B1168</f>
        <v>Negative</v>
      </c>
      <c r="C1248" s="174">
        <f>INPUT!G34</f>
        <v>0</v>
      </c>
      <c r="D1248" s="174">
        <f>IF(INPUT!AB34=1,0.2,IF(INPUT!AB34=2,0.25,0))*INPUT!N34</f>
        <v>700</v>
      </c>
      <c r="E1248" s="191">
        <f>INPUT!N34/COS(I1248)/INPUT!O34</f>
        <v>235.16819383874085</v>
      </c>
      <c r="F1248" s="174">
        <f>MAX(INPUT!X34,INPUT!Y34)-INPUT!U34</f>
        <v>3700</v>
      </c>
      <c r="G1248" s="174">
        <f>INPUT!U34</f>
        <v>2400</v>
      </c>
      <c r="H1248" s="174">
        <f>MAX(INPUT!V34,INPUT!W34)-INPUT!U34/2</f>
        <v>1200</v>
      </c>
      <c r="I1248" s="174">
        <f>INPUT!P34</f>
        <v>0.125</v>
      </c>
      <c r="J1248" s="191">
        <f>IF(OR(L230="1",L230="a"),M230,IF(OR(L230="b",L230="c",L230="d",L230="8"),H505-M230,0))/COS(I1248)</f>
        <v>1566.9520768766395</v>
      </c>
      <c r="K1248" s="343">
        <f>INPUT!O34</f>
        <v>12</v>
      </c>
      <c r="L1248" s="291" t="str">
        <f>IF(B1248="Positive",IF(C1248=0,(IF(AND(INPUT!AO34&lt;=455,INPUT!AQ34&lt;455,E1248&lt;=IF(D1248=0,1000,150),0.8*G1248&lt;=F1248,1.2*G1248&gt;=F1248,I1248&lt;=0.25,H1248&lt;=MIN(F1248,1800),2*J1248/K1248&lt;=3.76*SQRT(INPUT!$B$2/INPUT!AO34)),"compact","noncompact")),"noncompact"),"-")</f>
        <v>-</v>
      </c>
      <c r="M1248" s="379"/>
      <c r="N1248" s="4"/>
    </row>
    <row r="1249">
      <c r="A1249" s="187">
        <f>A1169</f>
        <v>101</v>
      </c>
      <c r="B1249" s="174" t="str">
        <f>B1169</f>
        <v>Negative</v>
      </c>
      <c r="C1249" s="174">
        <f>INPUT!G35</f>
        <v>0</v>
      </c>
      <c r="D1249" s="174">
        <f>IF(INPUT!AB35=1,0.2,IF(INPUT!AB35=2,0.25,0))*INPUT!N35</f>
        <v>700</v>
      </c>
      <c r="E1249" s="191">
        <f>INPUT!N35/COS(I1249)/INPUT!O35</f>
        <v>235.16819383874085</v>
      </c>
      <c r="F1249" s="174">
        <f>MAX(INPUT!X35,INPUT!Y35)-INPUT!U35</f>
        <v>3700</v>
      </c>
      <c r="G1249" s="174">
        <f>INPUT!U35</f>
        <v>2400</v>
      </c>
      <c r="H1249" s="174">
        <f>MAX(INPUT!V35,INPUT!W35)-INPUT!U35/2</f>
        <v>1200</v>
      </c>
      <c r="I1249" s="174">
        <f>INPUT!P35</f>
        <v>0.125</v>
      </c>
      <c r="J1249" s="191">
        <f>IF(OR(L231="1",L231="a"),M231,IF(OR(L231="b",L231="c",L231="d",L231="8"),H506-M231,0))/COS(I1249)</f>
        <v>1566.9520768766395</v>
      </c>
      <c r="K1249" s="343">
        <f>INPUT!O35</f>
        <v>12</v>
      </c>
      <c r="L1249" s="291" t="str">
        <f>IF(B1249="Positive",IF(C1249=0,(IF(AND(INPUT!AO35&lt;=455,INPUT!AQ35&lt;455,E1249&lt;=IF(D1249=0,1000,150),0.8*G1249&lt;=F1249,1.2*G1249&gt;=F1249,I1249&lt;=0.25,H1249&lt;=MIN(F1249,1800),2*J1249/K1249&lt;=3.76*SQRT(INPUT!$B$2/INPUT!AO35)),"compact","noncompact")),"noncompact"),"-")</f>
        <v>-</v>
      </c>
      <c r="M1249" s="379"/>
      <c r="N1249" s="4"/>
    </row>
    <row r="1250">
      <c r="A1250" s="187">
        <f>A1170</f>
        <v>101</v>
      </c>
      <c r="B1250" s="174" t="str">
        <f>B1170</f>
        <v>Negative</v>
      </c>
      <c r="C1250" s="174">
        <f>INPUT!G36</f>
        <v>0</v>
      </c>
      <c r="D1250" s="174">
        <f>IF(INPUT!AB36=1,0.2,IF(INPUT!AB36=2,0.25,0))*INPUT!N36</f>
        <v>700</v>
      </c>
      <c r="E1250" s="191">
        <f>INPUT!N36/COS(I1250)/INPUT!O36</f>
        <v>235.16819383874085</v>
      </c>
      <c r="F1250" s="174">
        <f>MAX(INPUT!X36,INPUT!Y36)-INPUT!U36</f>
        <v>3700</v>
      </c>
      <c r="G1250" s="174">
        <f>INPUT!U36</f>
        <v>2400</v>
      </c>
      <c r="H1250" s="174">
        <f>MAX(INPUT!V36,INPUT!W36)-INPUT!U36/2</f>
        <v>1200</v>
      </c>
      <c r="I1250" s="174">
        <f>INPUT!P36</f>
        <v>0.125</v>
      </c>
      <c r="J1250" s="191">
        <f>IF(OR(L232="1",L232="a"),M232,IF(OR(L232="b",L232="c",L232="d",L232="8"),H507-M232,0))/COS(I1250)</f>
        <v>1566.9520768766395</v>
      </c>
      <c r="K1250" s="343">
        <f>INPUT!O36</f>
        <v>12</v>
      </c>
      <c r="L1250" s="291" t="str">
        <f>IF(B1250="Positive",IF(C1250=0,(IF(AND(INPUT!AO36&lt;=455,INPUT!AQ36&lt;455,E1250&lt;=IF(D1250=0,1000,150),0.8*G1250&lt;=F1250,1.2*G1250&gt;=F1250,I1250&lt;=0.25,H1250&lt;=MIN(F1250,1800),2*J1250/K1250&lt;=3.76*SQRT(INPUT!$B$2/INPUT!AO36)),"compact","noncompact")),"noncompact"),"-")</f>
        <v>-</v>
      </c>
      <c r="M1250" s="379"/>
      <c r="N1250" s="4"/>
    </row>
    <row r="1251">
      <c r="A1251" s="187">
        <f>A1171</f>
        <v>101</v>
      </c>
      <c r="B1251" s="174" t="str">
        <f>B1171</f>
        <v>Negative</v>
      </c>
      <c r="C1251" s="174">
        <f>INPUT!G37</f>
        <v>0</v>
      </c>
      <c r="D1251" s="174">
        <f>IF(INPUT!AB37=1,0.2,IF(INPUT!AB37=2,0.25,0))*INPUT!N37</f>
        <v>700</v>
      </c>
      <c r="E1251" s="191">
        <f>INPUT!N37/COS(I1251)/INPUT!O37</f>
        <v>235.16819383874085</v>
      </c>
      <c r="F1251" s="174">
        <f>MAX(INPUT!X37,INPUT!Y37)-INPUT!U37</f>
        <v>3700</v>
      </c>
      <c r="G1251" s="174">
        <f>INPUT!U37</f>
        <v>2400</v>
      </c>
      <c r="H1251" s="174">
        <f>MAX(INPUT!V37,INPUT!W37)-INPUT!U37/2</f>
        <v>1200</v>
      </c>
      <c r="I1251" s="174">
        <f>INPUT!P37</f>
        <v>0.125</v>
      </c>
      <c r="J1251" s="191">
        <f>IF(OR(L233="1",L233="a"),M233,IF(OR(L233="b",L233="c",L233="d",L233="8"),H508-M233,0))/COS(I1251)</f>
        <v>1566.9520768766395</v>
      </c>
      <c r="K1251" s="343">
        <f>INPUT!O37</f>
        <v>12</v>
      </c>
      <c r="L1251" s="291" t="str">
        <f>IF(B1251="Positive",IF(C1251=0,(IF(AND(INPUT!AO37&lt;=455,INPUT!AQ37&lt;455,E1251&lt;=IF(D1251=0,1000,150),0.8*G1251&lt;=F1251,1.2*G1251&gt;=F1251,I1251&lt;=0.25,H1251&lt;=MIN(F1251,1800),2*J1251/K1251&lt;=3.76*SQRT(INPUT!$B$2/INPUT!AO37)),"compact","noncompact")),"noncompact"),"-")</f>
        <v>-</v>
      </c>
      <c r="M1251" s="379"/>
      <c r="N1251" s="4"/>
    </row>
    <row r="1252">
      <c r="A1252" s="187">
        <f>A1172</f>
        <v>101</v>
      </c>
      <c r="B1252" s="174" t="str">
        <f>B1172</f>
        <v>Negative</v>
      </c>
      <c r="C1252" s="174">
        <f>INPUT!G38</f>
        <v>0</v>
      </c>
      <c r="D1252" s="174">
        <f>IF(INPUT!AB38=1,0.2,IF(INPUT!AB38=2,0.25,0))*INPUT!N38</f>
        <v>700</v>
      </c>
      <c r="E1252" s="191">
        <f>INPUT!N38/COS(I1252)/INPUT!O38</f>
        <v>235.16819383874085</v>
      </c>
      <c r="F1252" s="174">
        <f>MAX(INPUT!X38,INPUT!Y38)-INPUT!U38</f>
        <v>3700</v>
      </c>
      <c r="G1252" s="174">
        <f>INPUT!U38</f>
        <v>2400</v>
      </c>
      <c r="H1252" s="174">
        <f>MAX(INPUT!V38,INPUT!W38)-INPUT!U38/2</f>
        <v>1200</v>
      </c>
      <c r="I1252" s="174">
        <f>INPUT!P38</f>
        <v>0.125</v>
      </c>
      <c r="J1252" s="191">
        <f>IF(OR(L234="1",L234="a"),M234,IF(OR(L234="b",L234="c",L234="d",L234="8"),H509-M234,0))/COS(I1252)</f>
        <v>1566.9520768766395</v>
      </c>
      <c r="K1252" s="343">
        <f>INPUT!O38</f>
        <v>12</v>
      </c>
      <c r="L1252" s="291" t="str">
        <f>IF(B1252="Positive",IF(C1252=0,(IF(AND(INPUT!AO38&lt;=455,INPUT!AQ38&lt;455,E1252&lt;=IF(D1252=0,1000,150),0.8*G1252&lt;=F1252,1.2*G1252&gt;=F1252,I1252&lt;=0.25,H1252&lt;=MIN(F1252,1800),2*J1252/K1252&lt;=3.76*SQRT(INPUT!$B$2/INPUT!AO38)),"compact","noncompact")),"noncompact"),"-")</f>
        <v>-</v>
      </c>
      <c r="M1252" s="379"/>
      <c r="N1252" s="4"/>
    </row>
    <row r="1253">
      <c r="A1253" s="187">
        <f>A1173</f>
        <v>101</v>
      </c>
      <c r="B1253" s="174" t="str">
        <f>B1173</f>
        <v>Negative</v>
      </c>
      <c r="C1253" s="174">
        <f>INPUT!G39</f>
        <v>0</v>
      </c>
      <c r="D1253" s="174">
        <f>IF(INPUT!AB39=1,0.2,IF(INPUT!AB39=2,0.25,0))*INPUT!N39</f>
        <v>700</v>
      </c>
      <c r="E1253" s="191">
        <f>INPUT!N39/COS(I1253)/INPUT!O39</f>
        <v>235.16819383874085</v>
      </c>
      <c r="F1253" s="174">
        <f>MAX(INPUT!X39,INPUT!Y39)-INPUT!U39</f>
        <v>3700</v>
      </c>
      <c r="G1253" s="174">
        <f>INPUT!U39</f>
        <v>2400</v>
      </c>
      <c r="H1253" s="174">
        <f>MAX(INPUT!V39,INPUT!W39)-INPUT!U39/2</f>
        <v>1200</v>
      </c>
      <c r="I1253" s="174">
        <f>INPUT!P39</f>
        <v>0.125</v>
      </c>
      <c r="J1253" s="191">
        <f>IF(OR(L235="1",L235="a"),M235,IF(OR(L235="b",L235="c",L235="d",L235="8"),H510-M235,0))/COS(I1253)</f>
        <v>1566.9520768766395</v>
      </c>
      <c r="K1253" s="343">
        <f>INPUT!O39</f>
        <v>12</v>
      </c>
      <c r="L1253" s="291" t="str">
        <f>IF(B1253="Positive",IF(C1253=0,(IF(AND(INPUT!AO39&lt;=455,INPUT!AQ39&lt;455,E1253&lt;=IF(D1253=0,1000,150),0.8*G1253&lt;=F1253,1.2*G1253&gt;=F1253,I1253&lt;=0.25,H1253&lt;=MIN(F1253,1800),2*J1253/K1253&lt;=3.76*SQRT(INPUT!$B$2/INPUT!AO39)),"compact","noncompact")),"noncompact"),"-")</f>
        <v>-</v>
      </c>
      <c r="M1253" s="379"/>
      <c r="N1253" s="4"/>
    </row>
    <row r="1254">
      <c r="A1254" s="187">
        <f>A1174</f>
        <v>101</v>
      </c>
      <c r="B1254" s="174" t="str">
        <f>B1174</f>
        <v>Negative</v>
      </c>
      <c r="C1254" s="174">
        <f>INPUT!G40</f>
        <v>0</v>
      </c>
      <c r="D1254" s="174">
        <f>IF(INPUT!AB40=1,0.2,IF(INPUT!AB40=2,0.25,0))*INPUT!N40</f>
        <v>700</v>
      </c>
      <c r="E1254" s="191">
        <f>INPUT!N40/COS(I1254)/INPUT!O40</f>
        <v>235.16819383874085</v>
      </c>
      <c r="F1254" s="174">
        <f>MAX(INPUT!X40,INPUT!Y40)-INPUT!U40</f>
        <v>3700</v>
      </c>
      <c r="G1254" s="174">
        <f>INPUT!U40</f>
        <v>2400</v>
      </c>
      <c r="H1254" s="174">
        <f>MAX(INPUT!V40,INPUT!W40)-INPUT!U40/2</f>
        <v>1200</v>
      </c>
      <c r="I1254" s="174">
        <f>INPUT!P40</f>
        <v>0.125</v>
      </c>
      <c r="J1254" s="191">
        <f>IF(OR(L236="1",L236="a"),M236,IF(OR(L236="b",L236="c",L236="d",L236="8"),H511-M236,0))/COS(I1254)</f>
        <v>1566.9520768766395</v>
      </c>
      <c r="K1254" s="343">
        <f>INPUT!O40</f>
        <v>12</v>
      </c>
      <c r="L1254" s="291" t="str">
        <f>IF(B1254="Positive",IF(C1254=0,(IF(AND(INPUT!AO40&lt;=455,INPUT!AQ40&lt;455,E1254&lt;=IF(D1254=0,1000,150),0.8*G1254&lt;=F1254,1.2*G1254&gt;=F1254,I1254&lt;=0.25,H1254&lt;=MIN(F1254,1800),2*J1254/K1254&lt;=3.76*SQRT(INPUT!$B$2/INPUT!AO40)),"compact","noncompact")),"noncompact"),"-")</f>
        <v>-</v>
      </c>
      <c r="M1254" s="379"/>
      <c r="N1254" s="4"/>
    </row>
    <row r="1255">
      <c r="A1255" s="187">
        <f>A1175</f>
        <v>101</v>
      </c>
      <c r="B1255" s="174" t="str">
        <f>B1175</f>
        <v>Negative</v>
      </c>
      <c r="C1255" s="174">
        <f>INPUT!G41</f>
        <v>0</v>
      </c>
      <c r="D1255" s="174">
        <f>IF(INPUT!AB41=1,0.2,IF(INPUT!AB41=2,0.25,0))*INPUT!N41</f>
        <v>700</v>
      </c>
      <c r="E1255" s="191">
        <f>INPUT!N41/COS(I1255)/INPUT!O41</f>
        <v>235.16819383874085</v>
      </c>
      <c r="F1255" s="174">
        <f>MAX(INPUT!X41,INPUT!Y41)-INPUT!U41</f>
        <v>3700</v>
      </c>
      <c r="G1255" s="174">
        <f>INPUT!U41</f>
        <v>2400</v>
      </c>
      <c r="H1255" s="174">
        <f>MAX(INPUT!V41,INPUT!W41)-INPUT!U41/2</f>
        <v>1200</v>
      </c>
      <c r="I1255" s="174">
        <f>INPUT!P41</f>
        <v>0.125</v>
      </c>
      <c r="J1255" s="191">
        <f>IF(OR(L237="1",L237="a"),M237,IF(OR(L237="b",L237="c",L237="d",L237="8"),H512-M237,0))/COS(I1255)</f>
        <v>1566.9520768766395</v>
      </c>
      <c r="K1255" s="343">
        <f>INPUT!O41</f>
        <v>12</v>
      </c>
      <c r="L1255" s="291" t="str">
        <f>IF(B1255="Positive",IF(C1255=0,(IF(AND(INPUT!AO41&lt;=455,INPUT!AQ41&lt;455,E1255&lt;=IF(D1255=0,1000,150),0.8*G1255&lt;=F1255,1.2*G1255&gt;=F1255,I1255&lt;=0.25,H1255&lt;=MIN(F1255,1800),2*J1255/K1255&lt;=3.76*SQRT(INPUT!$B$2/INPUT!AO41)),"compact","noncompact")),"noncompact"),"-")</f>
        <v>-</v>
      </c>
      <c r="M1255" s="379"/>
      <c r="N1255" s="4"/>
    </row>
    <row r="1256">
      <c r="A1256" s="187">
        <f>A1176</f>
        <v>101</v>
      </c>
      <c r="B1256" s="174" t="str">
        <f>B1176</f>
        <v>Negative</v>
      </c>
      <c r="C1256" s="174">
        <f>INPUT!G42</f>
        <v>0</v>
      </c>
      <c r="D1256" s="174">
        <f>IF(INPUT!AB42=1,0.2,IF(INPUT!AB42=2,0.25,0))*INPUT!N42</f>
        <v>700</v>
      </c>
      <c r="E1256" s="191">
        <f>INPUT!N42/COS(I1256)/INPUT!O42</f>
        <v>235.16819383874085</v>
      </c>
      <c r="F1256" s="174">
        <f>MAX(INPUT!X42,INPUT!Y42)-INPUT!U42</f>
        <v>3700</v>
      </c>
      <c r="G1256" s="174">
        <f>INPUT!U42</f>
        <v>2400</v>
      </c>
      <c r="H1256" s="174">
        <f>MAX(INPUT!V42,INPUT!W42)-INPUT!U42/2</f>
        <v>1200</v>
      </c>
      <c r="I1256" s="174">
        <f>INPUT!P42</f>
        <v>0.125</v>
      </c>
      <c r="J1256" s="191">
        <f>IF(OR(L238="1",L238="a"),M238,IF(OR(L238="b",L238="c",L238="d",L238="8"),H513-M238,0))/COS(I1256)</f>
        <v>1566.9520768766395</v>
      </c>
      <c r="K1256" s="343">
        <f>INPUT!O42</f>
        <v>12</v>
      </c>
      <c r="L1256" s="291" t="str">
        <f>IF(B1256="Positive",IF(C1256=0,(IF(AND(INPUT!AO42&lt;=455,INPUT!AQ42&lt;455,E1256&lt;=IF(D1256=0,1000,150),0.8*G1256&lt;=F1256,1.2*G1256&gt;=F1256,I1256&lt;=0.25,H1256&lt;=MIN(F1256,1800),2*J1256/K1256&lt;=3.76*SQRT(INPUT!$B$2/INPUT!AO42)),"compact","noncompact")),"noncompact"),"-")</f>
        <v>-</v>
      </c>
      <c r="M1256" s="379"/>
      <c r="N1256" s="4"/>
    </row>
    <row r="1257">
      <c r="A1257" s="187">
        <f>A1177</f>
        <v>101</v>
      </c>
      <c r="B1257" s="174" t="str">
        <f>B1177</f>
        <v>Negative</v>
      </c>
      <c r="C1257" s="174">
        <f>INPUT!G43</f>
        <v>0</v>
      </c>
      <c r="D1257" s="174">
        <f>IF(INPUT!AB43=1,0.2,IF(INPUT!AB43=2,0.25,0))*INPUT!N43</f>
        <v>700</v>
      </c>
      <c r="E1257" s="191">
        <f>INPUT!N43/COS(I1257)/INPUT!O43</f>
        <v>235.16819383874085</v>
      </c>
      <c r="F1257" s="174">
        <f>MAX(INPUT!X43,INPUT!Y43)-INPUT!U43</f>
        <v>3700</v>
      </c>
      <c r="G1257" s="174">
        <f>INPUT!U43</f>
        <v>2400</v>
      </c>
      <c r="H1257" s="174">
        <f>MAX(INPUT!V43,INPUT!W43)-INPUT!U43/2</f>
        <v>1200</v>
      </c>
      <c r="I1257" s="174">
        <f>INPUT!P43</f>
        <v>0.125</v>
      </c>
      <c r="J1257" s="191">
        <f>IF(OR(L239="1",L239="a"),M239,IF(OR(L239="b",L239="c",L239="d",L239="8"),H514-M239,0))/COS(I1257)</f>
        <v>1566.9520768766395</v>
      </c>
      <c r="K1257" s="343">
        <f>INPUT!O43</f>
        <v>12</v>
      </c>
      <c r="L1257" s="291" t="str">
        <f>IF(B1257="Positive",IF(C1257=0,(IF(AND(INPUT!AO43&lt;=455,INPUT!AQ43&lt;455,E1257&lt;=IF(D1257=0,1000,150),0.8*G1257&lt;=F1257,1.2*G1257&gt;=F1257,I1257&lt;=0.25,H1257&lt;=MIN(F1257,1800),2*J1257/K1257&lt;=3.76*SQRT(INPUT!$B$2/INPUT!AO43)),"compact","noncompact")),"noncompact"),"-")</f>
        <v>-</v>
      </c>
      <c r="M1257" s="379"/>
      <c r="N1257" s="4"/>
    </row>
    <row r="1258">
      <c r="A1258" s="187">
        <f>A1178</f>
        <v>101</v>
      </c>
      <c r="B1258" s="174" t="str">
        <f>B1178</f>
        <v>Negative</v>
      </c>
      <c r="C1258" s="174">
        <f>INPUT!G44</f>
        <v>0</v>
      </c>
      <c r="D1258" s="174">
        <f>IF(INPUT!AB44=1,0.2,IF(INPUT!AB44=2,0.25,0))*INPUT!N44</f>
        <v>700</v>
      </c>
      <c r="E1258" s="191">
        <f>INPUT!N44/COS(I1258)/INPUT!O44</f>
        <v>235.16819383874085</v>
      </c>
      <c r="F1258" s="174">
        <f>MAX(INPUT!X44,INPUT!Y44)-INPUT!U44</f>
        <v>3700</v>
      </c>
      <c r="G1258" s="174">
        <f>INPUT!U44</f>
        <v>2400</v>
      </c>
      <c r="H1258" s="174">
        <f>MAX(INPUT!V44,INPUT!W44)-INPUT!U44/2</f>
        <v>1200</v>
      </c>
      <c r="I1258" s="174">
        <f>INPUT!P44</f>
        <v>0.125</v>
      </c>
      <c r="J1258" s="191">
        <f>IF(OR(L240="1",L240="a"),M240,IF(OR(L240="b",L240="c",L240="d",L240="8"),H515-M240,0))/COS(I1258)</f>
        <v>1566.9520768766395</v>
      </c>
      <c r="K1258" s="343">
        <f>INPUT!O44</f>
        <v>12</v>
      </c>
      <c r="L1258" s="291" t="str">
        <f>IF(B1258="Positive",IF(C1258=0,(IF(AND(INPUT!AO44&lt;=455,INPUT!AQ44&lt;455,E1258&lt;=IF(D1258=0,1000,150),0.8*G1258&lt;=F1258,1.2*G1258&gt;=F1258,I1258&lt;=0.25,H1258&lt;=MIN(F1258,1800),2*J1258/K1258&lt;=3.76*SQRT(INPUT!$B$2/INPUT!AO44)),"compact","noncompact")),"noncompact"),"-")</f>
        <v>-</v>
      </c>
      <c r="M1258" s="379"/>
      <c r="N1258" s="4"/>
    </row>
    <row r="1259">
      <c r="A1259" s="187">
        <f>A1179</f>
        <v>101</v>
      </c>
      <c r="B1259" s="174" t="str">
        <f>B1179</f>
        <v>Negative</v>
      </c>
      <c r="C1259" s="174">
        <f>INPUT!G45</f>
        <v>0</v>
      </c>
      <c r="D1259" s="174">
        <f>IF(INPUT!AB45=1,0.2,IF(INPUT!AB45=2,0.25,0))*INPUT!N45</f>
        <v>700</v>
      </c>
      <c r="E1259" s="191">
        <f>INPUT!N45/COS(I1259)/INPUT!O45</f>
        <v>235.16819383874085</v>
      </c>
      <c r="F1259" s="174">
        <f>MAX(INPUT!X45,INPUT!Y45)-INPUT!U45</f>
        <v>3700</v>
      </c>
      <c r="G1259" s="174">
        <f>INPUT!U45</f>
        <v>2400</v>
      </c>
      <c r="H1259" s="174">
        <f>MAX(INPUT!V45,INPUT!W45)-INPUT!U45/2</f>
        <v>1200</v>
      </c>
      <c r="I1259" s="174">
        <f>INPUT!P45</f>
        <v>0.125</v>
      </c>
      <c r="J1259" s="191">
        <f>IF(OR(L241="1",L241="a"),M241,IF(OR(L241="b",L241="c",L241="d",L241="8"),H516-M241,0))/COS(I1259)</f>
        <v>1566.9520768766395</v>
      </c>
      <c r="K1259" s="343">
        <f>INPUT!O45</f>
        <v>12</v>
      </c>
      <c r="L1259" s="291" t="str">
        <f>IF(B1259="Positive",IF(C1259=0,(IF(AND(INPUT!AO45&lt;=455,INPUT!AQ45&lt;455,E1259&lt;=IF(D1259=0,1000,150),0.8*G1259&lt;=F1259,1.2*G1259&gt;=F1259,I1259&lt;=0.25,H1259&lt;=MIN(F1259,1800),2*J1259/K1259&lt;=3.76*SQRT(INPUT!$B$2/INPUT!AO45)),"compact","noncompact")),"noncompact"),"-")</f>
        <v>-</v>
      </c>
      <c r="M1259" s="379"/>
      <c r="N1259" s="4"/>
    </row>
    <row r="1260">
      <c r="A1260" s="187">
        <f>A1180</f>
        <v>101</v>
      </c>
      <c r="B1260" s="174" t="str">
        <f>B1180</f>
        <v>Negative</v>
      </c>
      <c r="C1260" s="174">
        <f>INPUT!G46</f>
        <v>0</v>
      </c>
      <c r="D1260" s="174">
        <f>IF(INPUT!AB46=1,0.2,IF(INPUT!AB46=2,0.25,0))*INPUT!N46</f>
        <v>700</v>
      </c>
      <c r="E1260" s="191">
        <f>INPUT!N46/COS(I1260)/INPUT!O46</f>
        <v>235.16819383874085</v>
      </c>
      <c r="F1260" s="174">
        <f>MAX(INPUT!X46,INPUT!Y46)-INPUT!U46</f>
        <v>3700</v>
      </c>
      <c r="G1260" s="174">
        <f>INPUT!U46</f>
        <v>2400</v>
      </c>
      <c r="H1260" s="174">
        <f>MAX(INPUT!V46,INPUT!W46)-INPUT!U46/2</f>
        <v>1200</v>
      </c>
      <c r="I1260" s="174">
        <f>INPUT!P46</f>
        <v>0.125</v>
      </c>
      <c r="J1260" s="191">
        <f>IF(OR(L242="1",L242="a"),M242,IF(OR(L242="b",L242="c",L242="d",L242="8"),H517-M242,0))/COS(I1260)</f>
        <v>1566.9520768766395</v>
      </c>
      <c r="K1260" s="343">
        <f>INPUT!O46</f>
        <v>12</v>
      </c>
      <c r="L1260" s="291" t="str">
        <f>IF(B1260="Positive",IF(C1260=0,(IF(AND(INPUT!AO46&lt;=455,INPUT!AQ46&lt;455,E1260&lt;=IF(D1260=0,1000,150),0.8*G1260&lt;=F1260,1.2*G1260&gt;=F1260,I1260&lt;=0.25,H1260&lt;=MIN(F1260,1800),2*J1260/K1260&lt;=3.76*SQRT(INPUT!$B$2/INPUT!AO46)),"compact","noncompact")),"noncompact"),"-")</f>
        <v>-</v>
      </c>
      <c r="M1260" s="379"/>
      <c r="N1260" s="4"/>
    </row>
    <row r="1261">
      <c r="A1261" s="187">
        <f>A1181</f>
        <v>101</v>
      </c>
      <c r="B1261" s="174" t="str">
        <f>B1181</f>
        <v>Negative</v>
      </c>
      <c r="C1261" s="174">
        <f>INPUT!G47</f>
        <v>0</v>
      </c>
      <c r="D1261" s="174">
        <f>IF(INPUT!AB47=1,0.2,IF(INPUT!AB47=2,0.25,0))*INPUT!N47</f>
        <v>700</v>
      </c>
      <c r="E1261" s="191">
        <f>INPUT!N47/COS(I1261)/INPUT!O47</f>
        <v>235.16819383874085</v>
      </c>
      <c r="F1261" s="174">
        <f>MAX(INPUT!X47,INPUT!Y47)-INPUT!U47</f>
        <v>3700</v>
      </c>
      <c r="G1261" s="174">
        <f>INPUT!U47</f>
        <v>2400</v>
      </c>
      <c r="H1261" s="174">
        <f>MAX(INPUT!V47,INPUT!W47)-INPUT!U47/2</f>
        <v>1200</v>
      </c>
      <c r="I1261" s="174">
        <f>INPUT!P47</f>
        <v>0.125</v>
      </c>
      <c r="J1261" s="191">
        <f>IF(OR(L243="1",L243="a"),M243,IF(OR(L243="b",L243="c",L243="d",L243="8"),H518-M243,0))/COS(I1261)</f>
        <v>1566.9520768766395</v>
      </c>
      <c r="K1261" s="343">
        <f>INPUT!O47</f>
        <v>12</v>
      </c>
      <c r="L1261" s="291" t="str">
        <f>IF(B1261="Positive",IF(C1261=0,(IF(AND(INPUT!AO47&lt;=455,INPUT!AQ47&lt;455,E1261&lt;=IF(D1261=0,1000,150),0.8*G1261&lt;=F1261,1.2*G1261&gt;=F1261,I1261&lt;=0.25,H1261&lt;=MIN(F1261,1800),2*J1261/K1261&lt;=3.76*SQRT(INPUT!$B$2/INPUT!AO47)),"compact","noncompact")),"noncompact"),"-")</f>
        <v>-</v>
      </c>
      <c r="M1261" s="379"/>
      <c r="N1261" s="4"/>
    </row>
    <row r="1262">
      <c r="A1262" s="187">
        <f>A1182</f>
        <v>101</v>
      </c>
      <c r="B1262" s="174" t="str">
        <f>B1182</f>
        <v>Negative</v>
      </c>
      <c r="C1262" s="174">
        <f>INPUT!G48</f>
        <v>0</v>
      </c>
      <c r="D1262" s="174">
        <f>IF(INPUT!AB48=1,0.2,IF(INPUT!AB48=2,0.25,0))*INPUT!N48</f>
        <v>700</v>
      </c>
      <c r="E1262" s="191">
        <f>INPUT!N48/COS(I1262)/INPUT!O48</f>
        <v>235.16819383874085</v>
      </c>
      <c r="F1262" s="174">
        <f>MAX(INPUT!X48,INPUT!Y48)-INPUT!U48</f>
        <v>3700</v>
      </c>
      <c r="G1262" s="174">
        <f>INPUT!U48</f>
        <v>2400</v>
      </c>
      <c r="H1262" s="174">
        <f>MAX(INPUT!V48,INPUT!W48)-INPUT!U48/2</f>
        <v>1200</v>
      </c>
      <c r="I1262" s="174">
        <f>INPUT!P48</f>
        <v>0.125</v>
      </c>
      <c r="J1262" s="191">
        <f>IF(OR(L244="1",L244="a"),M244,IF(OR(L244="b",L244="c",L244="d",L244="8"),H519-M244,0))/COS(I1262)</f>
        <v>1566.9520768766395</v>
      </c>
      <c r="K1262" s="343">
        <f>INPUT!O48</f>
        <v>12</v>
      </c>
      <c r="L1262" s="291" t="str">
        <f>IF(B1262="Positive",IF(C1262=0,(IF(AND(INPUT!AO48&lt;=455,INPUT!AQ48&lt;455,E1262&lt;=IF(D1262=0,1000,150),0.8*G1262&lt;=F1262,1.2*G1262&gt;=F1262,I1262&lt;=0.25,H1262&lt;=MIN(F1262,1800),2*J1262/K1262&lt;=3.76*SQRT(INPUT!$B$2/INPUT!AO48)),"compact","noncompact")),"noncompact"),"-")</f>
        <v>-</v>
      </c>
      <c r="M1262" s="379"/>
      <c r="N1262" s="4"/>
    </row>
    <row r="1263">
      <c r="A1263" s="187">
        <f>A1183</f>
        <v>101</v>
      </c>
      <c r="B1263" s="174" t="str">
        <f>B1183</f>
        <v>Negative</v>
      </c>
      <c r="C1263" s="174">
        <f>INPUT!G49</f>
        <v>0</v>
      </c>
      <c r="D1263" s="174">
        <f>IF(INPUT!AB49=1,0.2,IF(INPUT!AB49=2,0.25,0))*INPUT!N49</f>
        <v>700</v>
      </c>
      <c r="E1263" s="191">
        <f>INPUT!N49/COS(I1263)/INPUT!O49</f>
        <v>235.16819383874085</v>
      </c>
      <c r="F1263" s="174">
        <f>MAX(INPUT!X49,INPUT!Y49)-INPUT!U49</f>
        <v>3700</v>
      </c>
      <c r="G1263" s="174">
        <f>INPUT!U49</f>
        <v>2400</v>
      </c>
      <c r="H1263" s="174">
        <f>MAX(INPUT!V49,INPUT!W49)-INPUT!U49/2</f>
        <v>1200</v>
      </c>
      <c r="I1263" s="174">
        <f>INPUT!P49</f>
        <v>0.125</v>
      </c>
      <c r="J1263" s="191">
        <f>IF(OR(L245="1",L245="a"),M245,IF(OR(L245="b",L245="c",L245="d",L245="8"),H520-M245,0))/COS(I1263)</f>
        <v>1566.9520768766395</v>
      </c>
      <c r="K1263" s="343">
        <f>INPUT!O49</f>
        <v>12</v>
      </c>
      <c r="L1263" s="291" t="str">
        <f>IF(B1263="Positive",IF(C1263=0,(IF(AND(INPUT!AO49&lt;=455,INPUT!AQ49&lt;455,E1263&lt;=IF(D1263=0,1000,150),0.8*G1263&lt;=F1263,1.2*G1263&gt;=F1263,I1263&lt;=0.25,H1263&lt;=MIN(F1263,1800),2*J1263/K1263&lt;=3.76*SQRT(INPUT!$B$2/INPUT!AO49)),"compact","noncompact")),"noncompact"),"-")</f>
        <v>-</v>
      </c>
      <c r="M1263" s="379"/>
      <c r="N1263" s="4"/>
    </row>
    <row r="1264">
      <c r="A1264" s="187">
        <f>A1184</f>
        <v>101</v>
      </c>
      <c r="B1264" s="174" t="str">
        <f>B1184</f>
        <v>Negative</v>
      </c>
      <c r="C1264" s="174">
        <f>INPUT!G50</f>
        <v>0</v>
      </c>
      <c r="D1264" s="174">
        <f>IF(INPUT!AB50=1,0.2,IF(INPUT!AB50=2,0.25,0))*INPUT!N50</f>
        <v>700</v>
      </c>
      <c r="E1264" s="191">
        <f>INPUT!N50/COS(I1264)/INPUT!O50</f>
        <v>235.16819383874085</v>
      </c>
      <c r="F1264" s="174">
        <f>MAX(INPUT!X50,INPUT!Y50)-INPUT!U50</f>
        <v>3700</v>
      </c>
      <c r="G1264" s="174">
        <f>INPUT!U50</f>
        <v>2400</v>
      </c>
      <c r="H1264" s="174">
        <f>MAX(INPUT!V50,INPUT!W50)-INPUT!U50/2</f>
        <v>1200</v>
      </c>
      <c r="I1264" s="174">
        <f>INPUT!P50</f>
        <v>0.125</v>
      </c>
      <c r="J1264" s="191">
        <f>IF(OR(L246="1",L246="a"),M246,IF(OR(L246="b",L246="c",L246="d",L246="8"),H521-M246,0))/COS(I1264)</f>
        <v>1566.9520768766395</v>
      </c>
      <c r="K1264" s="343">
        <f>INPUT!O50</f>
        <v>12</v>
      </c>
      <c r="L1264" s="291" t="str">
        <f>IF(B1264="Positive",IF(C1264=0,(IF(AND(INPUT!AO50&lt;=455,INPUT!AQ50&lt;455,E1264&lt;=IF(D1264=0,1000,150),0.8*G1264&lt;=F1264,1.2*G1264&gt;=F1264,I1264&lt;=0.25,H1264&lt;=MIN(F1264,1800),2*J1264/K1264&lt;=3.76*SQRT(INPUT!$B$2/INPUT!AO50)),"compact","noncompact")),"noncompact"),"-")</f>
        <v>-</v>
      </c>
      <c r="M1264" s="379"/>
      <c r="N1264" s="4"/>
    </row>
    <row r="1265">
      <c r="A1265" s="187">
        <f>A1185</f>
        <v>101</v>
      </c>
      <c r="B1265" s="174" t="str">
        <f>B1185</f>
        <v>Negative</v>
      </c>
      <c r="C1265" s="174">
        <f>INPUT!G51</f>
        <v>0</v>
      </c>
      <c r="D1265" s="174">
        <f>IF(INPUT!AB51=1,0.2,IF(INPUT!AB51=2,0.25,0))*INPUT!N51</f>
        <v>700</v>
      </c>
      <c r="E1265" s="191">
        <f>INPUT!N51/COS(I1265)/INPUT!O51</f>
        <v>235.16819383874085</v>
      </c>
      <c r="F1265" s="174">
        <f>MAX(INPUT!X51,INPUT!Y51)-INPUT!U51</f>
        <v>3700</v>
      </c>
      <c r="G1265" s="174">
        <f>INPUT!U51</f>
        <v>2400</v>
      </c>
      <c r="H1265" s="174">
        <f>MAX(INPUT!V51,INPUT!W51)-INPUT!U51/2</f>
        <v>1200</v>
      </c>
      <c r="I1265" s="174">
        <f>INPUT!P51</f>
        <v>0.125</v>
      </c>
      <c r="J1265" s="191">
        <f>IF(OR(L247="1",L247="a"),M247,IF(OR(L247="b",L247="c",L247="d",L247="8"),H522-M247,0))/COS(I1265)</f>
        <v>1566.9520768766395</v>
      </c>
      <c r="K1265" s="343">
        <f>INPUT!O51</f>
        <v>12</v>
      </c>
      <c r="L1265" s="291" t="str">
        <f>IF(B1265="Positive",IF(C1265=0,(IF(AND(INPUT!AO51&lt;=455,INPUT!AQ51&lt;455,E1265&lt;=IF(D1265=0,1000,150),0.8*G1265&lt;=F1265,1.2*G1265&gt;=F1265,I1265&lt;=0.25,H1265&lt;=MIN(F1265,1800),2*J1265/K1265&lt;=3.76*SQRT(INPUT!$B$2/INPUT!AO51)),"compact","noncompact")),"noncompact"),"-")</f>
        <v>-</v>
      </c>
      <c r="M1265" s="379"/>
      <c r="N1265" s="4"/>
    </row>
    <row r="1266">
      <c r="A1266" s="187">
        <f>A1186</f>
        <v>101</v>
      </c>
      <c r="B1266" s="174" t="str">
        <f>B1186</f>
        <v>Negative</v>
      </c>
      <c r="C1266" s="174">
        <f>INPUT!G52</f>
        <v>0</v>
      </c>
      <c r="D1266" s="174">
        <f>IF(INPUT!AB52=1,0.2,IF(INPUT!AB52=2,0.25,0))*INPUT!N52</f>
        <v>700</v>
      </c>
      <c r="E1266" s="191">
        <f>INPUT!N52/COS(I1266)/INPUT!O52</f>
        <v>235.16819383874085</v>
      </c>
      <c r="F1266" s="174">
        <f>MAX(INPUT!X52,INPUT!Y52)-INPUT!U52</f>
        <v>3700</v>
      </c>
      <c r="G1266" s="174">
        <f>INPUT!U52</f>
        <v>2400</v>
      </c>
      <c r="H1266" s="174">
        <f>MAX(INPUT!V52,INPUT!W52)-INPUT!U52/2</f>
        <v>1200</v>
      </c>
      <c r="I1266" s="174">
        <f>INPUT!P52</f>
        <v>0.125</v>
      </c>
      <c r="J1266" s="191">
        <f>IF(OR(L248="1",L248="a"),M248,IF(OR(L248="b",L248="c",L248="d",L248="8"),H523-M248,0))/COS(I1266)</f>
        <v>1566.9520768766395</v>
      </c>
      <c r="K1266" s="343">
        <f>INPUT!O52</f>
        <v>12</v>
      </c>
      <c r="L1266" s="291" t="str">
        <f>IF(B1266="Positive",IF(C1266=0,(IF(AND(INPUT!AO52&lt;=455,INPUT!AQ52&lt;455,E1266&lt;=IF(D1266=0,1000,150),0.8*G1266&lt;=F1266,1.2*G1266&gt;=F1266,I1266&lt;=0.25,H1266&lt;=MIN(F1266,1800),2*J1266/K1266&lt;=3.76*SQRT(INPUT!$B$2/INPUT!AO52)),"compact","noncompact")),"noncompact"),"-")</f>
        <v>-</v>
      </c>
      <c r="M1266" s="379"/>
      <c r="N1266" s="4"/>
    </row>
    <row r="1267">
      <c r="A1267" s="187">
        <f>A1187</f>
        <v>101</v>
      </c>
      <c r="B1267" s="174" t="str">
        <f>B1187</f>
        <v>Negative</v>
      </c>
      <c r="C1267" s="174">
        <f>INPUT!G53</f>
        <v>0</v>
      </c>
      <c r="D1267" s="174">
        <f>IF(INPUT!AB53=1,0.2,IF(INPUT!AB53=2,0.25,0))*INPUT!N53</f>
        <v>700</v>
      </c>
      <c r="E1267" s="191">
        <f>INPUT!N53/COS(I1267)/INPUT!O53</f>
        <v>235.16819383874085</v>
      </c>
      <c r="F1267" s="174">
        <f>MAX(INPUT!X53,INPUT!Y53)-INPUT!U53</f>
        <v>3700</v>
      </c>
      <c r="G1267" s="174">
        <f>INPUT!U53</f>
        <v>2400</v>
      </c>
      <c r="H1267" s="174">
        <f>MAX(INPUT!V53,INPUT!W53)-INPUT!U53/2</f>
        <v>1200</v>
      </c>
      <c r="I1267" s="174">
        <f>INPUT!P53</f>
        <v>0.125</v>
      </c>
      <c r="J1267" s="191">
        <f>IF(OR(L249="1",L249="a"),M249,IF(OR(L249="b",L249="c",L249="d",L249="8"),H524-M249,0))/COS(I1267)</f>
        <v>1566.9520768766395</v>
      </c>
      <c r="K1267" s="343">
        <f>INPUT!O53</f>
        <v>12</v>
      </c>
      <c r="L1267" s="291" t="str">
        <f>IF(B1267="Positive",IF(C1267=0,(IF(AND(INPUT!AO53&lt;=455,INPUT!AQ53&lt;455,E1267&lt;=IF(D1267=0,1000,150),0.8*G1267&lt;=F1267,1.2*G1267&gt;=F1267,I1267&lt;=0.25,H1267&lt;=MIN(F1267,1800),2*J1267/K1267&lt;=3.76*SQRT(INPUT!$B$2/INPUT!AO53)),"compact","noncompact")),"noncompact"),"-")</f>
        <v>-</v>
      </c>
      <c r="M1267" s="379"/>
      <c r="N1267" s="4"/>
    </row>
    <row r="1268">
      <c r="A1268" s="187">
        <f>A1188</f>
        <v>101</v>
      </c>
      <c r="B1268" s="174" t="str">
        <f>B1188</f>
        <v>Negative</v>
      </c>
      <c r="C1268" s="174">
        <f>INPUT!G54</f>
        <v>0</v>
      </c>
      <c r="D1268" s="174">
        <f>IF(INPUT!AB54=1,0.2,IF(INPUT!AB54=2,0.25,0))*INPUT!N54</f>
        <v>700</v>
      </c>
      <c r="E1268" s="191">
        <f>INPUT!N54/COS(I1268)/INPUT!O54</f>
        <v>235.16819383874085</v>
      </c>
      <c r="F1268" s="174">
        <f>MAX(INPUT!X54,INPUT!Y54)-INPUT!U54</f>
        <v>3700</v>
      </c>
      <c r="G1268" s="174">
        <f>INPUT!U54</f>
        <v>2400</v>
      </c>
      <c r="H1268" s="174">
        <f>MAX(INPUT!V54,INPUT!W54)-INPUT!U54/2</f>
        <v>1200</v>
      </c>
      <c r="I1268" s="174">
        <f>INPUT!P54</f>
        <v>0.125</v>
      </c>
      <c r="J1268" s="191">
        <f>IF(OR(L250="1",L250="a"),M250,IF(OR(L250="b",L250="c",L250="d",L250="8"),H525-M250,0))/COS(I1268)</f>
        <v>1566.9520768766395</v>
      </c>
      <c r="K1268" s="343">
        <f>INPUT!O54</f>
        <v>12</v>
      </c>
      <c r="L1268" s="291" t="str">
        <f>IF(B1268="Positive",IF(C1268=0,(IF(AND(INPUT!AO54&lt;=455,INPUT!AQ54&lt;455,E1268&lt;=IF(D1268=0,1000,150),0.8*G1268&lt;=F1268,1.2*G1268&gt;=F1268,I1268&lt;=0.25,H1268&lt;=MIN(F1268,1800),2*J1268/K1268&lt;=3.76*SQRT(INPUT!$B$2/INPUT!AO54)),"compact","noncompact")),"noncompact"),"-")</f>
        <v>-</v>
      </c>
      <c r="M1268" s="379"/>
      <c r="N1268" s="4"/>
    </row>
    <row r="1269">
      <c r="A1269" s="187">
        <f>A1189</f>
        <v>101</v>
      </c>
      <c r="B1269" s="174" t="str">
        <f>B1189</f>
        <v>Negative</v>
      </c>
      <c r="C1269" s="174">
        <f>INPUT!G55</f>
        <v>0</v>
      </c>
      <c r="D1269" s="174">
        <f>IF(INPUT!AB55=1,0.2,IF(INPUT!AB55=2,0.25,0))*INPUT!N55</f>
        <v>700</v>
      </c>
      <c r="E1269" s="191">
        <f>INPUT!N55/COS(I1269)/INPUT!O55</f>
        <v>235.16819383874085</v>
      </c>
      <c r="F1269" s="174">
        <f>MAX(INPUT!X55,INPUT!Y55)-INPUT!U55</f>
        <v>3700</v>
      </c>
      <c r="G1269" s="174">
        <f>INPUT!U55</f>
        <v>2400</v>
      </c>
      <c r="H1269" s="174">
        <f>MAX(INPUT!V55,INPUT!W55)-INPUT!U55/2</f>
        <v>1200</v>
      </c>
      <c r="I1269" s="174">
        <f>INPUT!P55</f>
        <v>0.125</v>
      </c>
      <c r="J1269" s="191">
        <f>IF(OR(L251="1",L251="a"),M251,IF(OR(L251="b",L251="c",L251="d",L251="8"),H526-M251,0))/COS(I1269)</f>
        <v>1566.9520768766395</v>
      </c>
      <c r="K1269" s="343">
        <f>INPUT!O55</f>
        <v>12</v>
      </c>
      <c r="L1269" s="291" t="str">
        <f>IF(B1269="Positive",IF(C1269=0,(IF(AND(INPUT!AO55&lt;=455,INPUT!AQ55&lt;455,E1269&lt;=IF(D1269=0,1000,150),0.8*G1269&lt;=F1269,1.2*G1269&gt;=F1269,I1269&lt;=0.25,H1269&lt;=MIN(F1269,1800),2*J1269/K1269&lt;=3.76*SQRT(INPUT!$B$2/INPUT!AO55)),"compact","noncompact")),"noncompact"),"-")</f>
        <v>-</v>
      </c>
      <c r="M1269" s="379"/>
      <c r="N1269" s="4"/>
    </row>
    <row r="1270">
      <c r="A1270" s="187">
        <f>A1190</f>
        <v>101</v>
      </c>
      <c r="B1270" s="174" t="str">
        <f>B1190</f>
        <v>Negative</v>
      </c>
      <c r="C1270" s="174">
        <f>INPUT!G56</f>
        <v>0</v>
      </c>
      <c r="D1270" s="174">
        <f>IF(INPUT!AB56=1,0.2,IF(INPUT!AB56=2,0.25,0))*INPUT!N56</f>
        <v>700</v>
      </c>
      <c r="E1270" s="191">
        <f>INPUT!N56/COS(I1270)/INPUT!O56</f>
        <v>235.16819383874085</v>
      </c>
      <c r="F1270" s="174">
        <f>MAX(INPUT!X56,INPUT!Y56)-INPUT!U56</f>
        <v>3700</v>
      </c>
      <c r="G1270" s="174">
        <f>INPUT!U56</f>
        <v>2400</v>
      </c>
      <c r="H1270" s="174">
        <f>MAX(INPUT!V56,INPUT!W56)-INPUT!U56/2</f>
        <v>1200</v>
      </c>
      <c r="I1270" s="174">
        <f>INPUT!P56</f>
        <v>0.125</v>
      </c>
      <c r="J1270" s="191">
        <f>IF(OR(L252="1",L252="a"),M252,IF(OR(L252="b",L252="c",L252="d",L252="8"),H527-M252,0))/COS(I1270)</f>
        <v>1566.9520768766395</v>
      </c>
      <c r="K1270" s="343">
        <f>INPUT!O56</f>
        <v>12</v>
      </c>
      <c r="L1270" s="291" t="str">
        <f>IF(B1270="Positive",IF(C1270=0,(IF(AND(INPUT!AO56&lt;=455,INPUT!AQ56&lt;455,E1270&lt;=IF(D1270=0,1000,150),0.8*G1270&lt;=F1270,1.2*G1270&gt;=F1270,I1270&lt;=0.25,H1270&lt;=MIN(F1270,1800),2*J1270/K1270&lt;=3.76*SQRT(INPUT!$B$2/INPUT!AO56)),"compact","noncompact")),"noncompact"),"-")</f>
        <v>-</v>
      </c>
      <c r="M1270" s="379"/>
      <c r="N1270" s="4"/>
    </row>
    <row r="1271">
      <c r="A1271" s="187">
        <f>A1191</f>
        <v>101</v>
      </c>
      <c r="B1271" s="174" t="str">
        <f>B1191</f>
        <v>Negative</v>
      </c>
      <c r="C1271" s="174">
        <f>INPUT!G57</f>
        <v>0</v>
      </c>
      <c r="D1271" s="174">
        <f>IF(INPUT!AB57=1,0.2,IF(INPUT!AB57=2,0.25,0))*INPUT!N57</f>
        <v>700</v>
      </c>
      <c r="E1271" s="191">
        <f>INPUT!N57/COS(I1271)/INPUT!O57</f>
        <v>235.16819383874085</v>
      </c>
      <c r="F1271" s="174">
        <f>MAX(INPUT!X57,INPUT!Y57)-INPUT!U57</f>
        <v>3700</v>
      </c>
      <c r="G1271" s="174">
        <f>INPUT!U57</f>
        <v>2400</v>
      </c>
      <c r="H1271" s="174">
        <f>MAX(INPUT!V57,INPUT!W57)-INPUT!U57/2</f>
        <v>1200</v>
      </c>
      <c r="I1271" s="174">
        <f>INPUT!P57</f>
        <v>0.125</v>
      </c>
      <c r="J1271" s="191">
        <f>IF(OR(L253="1",L253="a"),M253,IF(OR(L253="b",L253="c",L253="d",L253="8"),H528-M253,0))/COS(I1271)</f>
        <v>1566.9520768766395</v>
      </c>
      <c r="K1271" s="343">
        <f>INPUT!O57</f>
        <v>12</v>
      </c>
      <c r="L1271" s="291" t="str">
        <f>IF(B1271="Positive",IF(C1271=0,(IF(AND(INPUT!AO57&lt;=455,INPUT!AQ57&lt;455,E1271&lt;=IF(D1271=0,1000,150),0.8*G1271&lt;=F1271,1.2*G1271&gt;=F1271,I1271&lt;=0.25,H1271&lt;=MIN(F1271,1800),2*J1271/K1271&lt;=3.76*SQRT(INPUT!$B$2/INPUT!AO57)),"compact","noncompact")),"noncompact"),"-")</f>
        <v>-</v>
      </c>
      <c r="M1271" s="379"/>
      <c r="N1271" s="4"/>
    </row>
    <row r="1272">
      <c r="A1272" s="187">
        <f>A1192</f>
        <v>101</v>
      </c>
      <c r="B1272" s="174" t="str">
        <f>B1192</f>
        <v>Negative</v>
      </c>
      <c r="C1272" s="174">
        <f>INPUT!G58</f>
        <v>0</v>
      </c>
      <c r="D1272" s="174">
        <f>IF(INPUT!AB58=1,0.2,IF(INPUT!AB58=2,0.25,0))*INPUT!N58</f>
        <v>700</v>
      </c>
      <c r="E1272" s="191">
        <f>INPUT!N58/COS(I1272)/INPUT!O58</f>
        <v>235.16819383874085</v>
      </c>
      <c r="F1272" s="174">
        <f>MAX(INPUT!X58,INPUT!Y58)-INPUT!U58</f>
        <v>3700</v>
      </c>
      <c r="G1272" s="174">
        <f>INPUT!U58</f>
        <v>2400</v>
      </c>
      <c r="H1272" s="174">
        <f>MAX(INPUT!V58,INPUT!W58)-INPUT!U58/2</f>
        <v>1200</v>
      </c>
      <c r="I1272" s="174">
        <f>INPUT!P58</f>
        <v>0.125</v>
      </c>
      <c r="J1272" s="191">
        <f>IF(OR(L254="1",L254="a"),M254,IF(OR(L254="b",L254="c",L254="d",L254="8"),H529-M254,0))/COS(I1272)</f>
        <v>1566.9520768766395</v>
      </c>
      <c r="K1272" s="343">
        <f>INPUT!O58</f>
        <v>12</v>
      </c>
      <c r="L1272" s="291" t="str">
        <f>IF(B1272="Positive",IF(C1272=0,(IF(AND(INPUT!AO58&lt;=455,INPUT!AQ58&lt;455,E1272&lt;=IF(D1272=0,1000,150),0.8*G1272&lt;=F1272,1.2*G1272&gt;=F1272,I1272&lt;=0.25,H1272&lt;=MIN(F1272,1800),2*J1272/K1272&lt;=3.76*SQRT(INPUT!$B$2/INPUT!AO58)),"compact","noncompact")),"noncompact"),"-")</f>
        <v>-</v>
      </c>
      <c r="M1272" s="379"/>
      <c r="N1272" s="4"/>
    </row>
    <row r="1273">
      <c r="A1273" s="187">
        <f>A1193</f>
        <v>101</v>
      </c>
      <c r="B1273" s="174" t="str">
        <f>B1193</f>
        <v>Negative</v>
      </c>
      <c r="C1273" s="174">
        <f>INPUT!G59</f>
        <v>0</v>
      </c>
      <c r="D1273" s="174">
        <f>IF(INPUT!AB59=1,0.2,IF(INPUT!AB59=2,0.25,0))*INPUT!N59</f>
        <v>700</v>
      </c>
      <c r="E1273" s="191">
        <f>INPUT!N59/COS(I1273)/INPUT!O59</f>
        <v>235.16819383874085</v>
      </c>
      <c r="F1273" s="174">
        <f>MAX(INPUT!X59,INPUT!Y59)-INPUT!U59</f>
        <v>3700</v>
      </c>
      <c r="G1273" s="174">
        <f>INPUT!U59</f>
        <v>2400</v>
      </c>
      <c r="H1273" s="174">
        <f>MAX(INPUT!V59,INPUT!W59)-INPUT!U59/2</f>
        <v>1200</v>
      </c>
      <c r="I1273" s="174">
        <f>INPUT!P59</f>
        <v>0.125</v>
      </c>
      <c r="J1273" s="191">
        <f>IF(OR(L255="1",L255="a"),M255,IF(OR(L255="b",L255="c",L255="d",L255="8"),H530-M255,0))/COS(I1273)</f>
        <v>1566.9520768766395</v>
      </c>
      <c r="K1273" s="343">
        <f>INPUT!O59</f>
        <v>12</v>
      </c>
      <c r="L1273" s="291" t="str">
        <f>IF(B1273="Positive",IF(C1273=0,(IF(AND(INPUT!AO59&lt;=455,INPUT!AQ59&lt;455,E1273&lt;=IF(D1273=0,1000,150),0.8*G1273&lt;=F1273,1.2*G1273&gt;=F1273,I1273&lt;=0.25,H1273&lt;=MIN(F1273,1800),2*J1273/K1273&lt;=3.76*SQRT(INPUT!$B$2/INPUT!AO59)),"compact","noncompact")),"noncompact"),"-")</f>
        <v>-</v>
      </c>
      <c r="M1273" s="379"/>
      <c r="N1273" s="4"/>
    </row>
    <row r="1274">
      <c r="A1274" s="187">
        <f>A1194</f>
        <v>101</v>
      </c>
      <c r="B1274" s="174" t="str">
        <f>B1194</f>
        <v>Negative</v>
      </c>
      <c r="C1274" s="174">
        <f>INPUT!G60</f>
        <v>0</v>
      </c>
      <c r="D1274" s="174">
        <f>IF(INPUT!AB60=1,0.2,IF(INPUT!AB60=2,0.25,0))*INPUT!N60</f>
        <v>700</v>
      </c>
      <c r="E1274" s="191">
        <f>INPUT!N60/COS(I1274)/INPUT!O60</f>
        <v>235.16819383874085</v>
      </c>
      <c r="F1274" s="174">
        <f>MAX(INPUT!X60,INPUT!Y60)-INPUT!U60</f>
        <v>3700</v>
      </c>
      <c r="G1274" s="174">
        <f>INPUT!U60</f>
        <v>2400</v>
      </c>
      <c r="H1274" s="174">
        <f>MAX(INPUT!V60,INPUT!W60)-INPUT!U60/2</f>
        <v>1200</v>
      </c>
      <c r="I1274" s="174">
        <f>INPUT!P60</f>
        <v>0.125</v>
      </c>
      <c r="J1274" s="191">
        <f>IF(OR(L256="1",L256="a"),M256,IF(OR(L256="b",L256="c",L256="d",L256="8"),H531-M256,0))/COS(I1274)</f>
        <v>1566.9520768766395</v>
      </c>
      <c r="K1274" s="343">
        <f>INPUT!O60</f>
        <v>12</v>
      </c>
      <c r="L1274" s="291" t="str">
        <f>IF(B1274="Positive",IF(C1274=0,(IF(AND(INPUT!AO60&lt;=455,INPUT!AQ60&lt;455,E1274&lt;=IF(D1274=0,1000,150),0.8*G1274&lt;=F1274,1.2*G1274&gt;=F1274,I1274&lt;=0.25,H1274&lt;=MIN(F1274,1800),2*J1274/K1274&lt;=3.76*SQRT(INPUT!$B$2/INPUT!AO60)),"compact","noncompact")),"noncompact"),"-")</f>
        <v>-</v>
      </c>
      <c r="M1274" s="379"/>
      <c r="N1274" s="4"/>
    </row>
    <row r="1275">
      <c r="A1275" s="187">
        <f>A1195</f>
        <v>101</v>
      </c>
      <c r="B1275" s="174" t="str">
        <f>B1195</f>
        <v>Negative</v>
      </c>
      <c r="C1275" s="174">
        <f>INPUT!G61</f>
        <v>0</v>
      </c>
      <c r="D1275" s="174">
        <f>IF(INPUT!AB61=1,0.2,IF(INPUT!AB61=2,0.25,0))*INPUT!N61</f>
        <v>700</v>
      </c>
      <c r="E1275" s="191">
        <f>INPUT!N61/COS(I1275)/INPUT!O61</f>
        <v>235.16819383874085</v>
      </c>
      <c r="F1275" s="174">
        <f>MAX(INPUT!X61,INPUT!Y61)-INPUT!U61</f>
        <v>3700</v>
      </c>
      <c r="G1275" s="174">
        <f>INPUT!U61</f>
        <v>2400</v>
      </c>
      <c r="H1275" s="174">
        <f>MAX(INPUT!V61,INPUT!W61)-INPUT!U61/2</f>
        <v>1200</v>
      </c>
      <c r="I1275" s="174">
        <f>INPUT!P61</f>
        <v>0.125</v>
      </c>
      <c r="J1275" s="191">
        <f>IF(OR(L257="1",L257="a"),M257,IF(OR(L257="b",L257="c",L257="d",L257="8"),H532-M257,0))/COS(I1275)</f>
        <v>1566.9520768766395</v>
      </c>
      <c r="K1275" s="343">
        <f>INPUT!O61</f>
        <v>12</v>
      </c>
      <c r="L1275" s="291" t="str">
        <f>IF(B1275="Positive",IF(C1275=0,(IF(AND(INPUT!AO61&lt;=455,INPUT!AQ61&lt;455,E1275&lt;=IF(D1275=0,1000,150),0.8*G1275&lt;=F1275,1.2*G1275&gt;=F1275,I1275&lt;=0.25,H1275&lt;=MIN(F1275,1800),2*J1275/K1275&lt;=3.76*SQRT(INPUT!$B$2/INPUT!AO61)),"compact","noncompact")),"noncompact"),"-")</f>
        <v>-</v>
      </c>
      <c r="M1275" s="379"/>
      <c r="N1275" s="4"/>
    </row>
    <row r="1276">
      <c r="A1276" s="187">
        <f>A1196</f>
        <v>101</v>
      </c>
      <c r="B1276" s="174" t="str">
        <f>B1196</f>
        <v>Negative</v>
      </c>
      <c r="C1276" s="174">
        <f>INPUT!G62</f>
        <v>0</v>
      </c>
      <c r="D1276" s="174">
        <f>IF(INPUT!AB62=1,0.2,IF(INPUT!AB62=2,0.25,0))*INPUT!N62</f>
        <v>700</v>
      </c>
      <c r="E1276" s="191">
        <f>INPUT!N62/COS(I1276)/INPUT!O62</f>
        <v>235.16819383874085</v>
      </c>
      <c r="F1276" s="174">
        <f>MAX(INPUT!X62,INPUT!Y62)-INPUT!U62</f>
        <v>3700</v>
      </c>
      <c r="G1276" s="174">
        <f>INPUT!U62</f>
        <v>2400</v>
      </c>
      <c r="H1276" s="174">
        <f>MAX(INPUT!V62,INPUT!W62)-INPUT!U62/2</f>
        <v>1200</v>
      </c>
      <c r="I1276" s="174">
        <f>INPUT!P62</f>
        <v>0.125</v>
      </c>
      <c r="J1276" s="191">
        <f>IF(OR(L258="1",L258="a"),M258,IF(OR(L258="b",L258="c",L258="d",L258="8"),H533-M258,0))/COS(I1276)</f>
        <v>1566.9520768766395</v>
      </c>
      <c r="K1276" s="343">
        <f>INPUT!O62</f>
        <v>12</v>
      </c>
      <c r="L1276" s="291" t="str">
        <f>IF(B1276="Positive",IF(C1276=0,(IF(AND(INPUT!AO62&lt;=455,INPUT!AQ62&lt;455,E1276&lt;=IF(D1276=0,1000,150),0.8*G1276&lt;=F1276,1.2*G1276&gt;=F1276,I1276&lt;=0.25,H1276&lt;=MIN(F1276,1800),2*J1276/K1276&lt;=3.76*SQRT(INPUT!$B$2/INPUT!AO62)),"compact","noncompact")),"noncompact"),"-")</f>
        <v>-</v>
      </c>
      <c r="M1276" s="379"/>
      <c r="N1276" s="4"/>
    </row>
    <row r="1277">
      <c r="A1277" s="187">
        <f>A1197</f>
        <v>101</v>
      </c>
      <c r="B1277" s="174" t="str">
        <f>B1197</f>
        <v>Negative</v>
      </c>
      <c r="C1277" s="174">
        <f>INPUT!G63</f>
        <v>0</v>
      </c>
      <c r="D1277" s="174">
        <f>IF(INPUT!AB63=1,0.2,IF(INPUT!AB63=2,0.25,0))*INPUT!N63</f>
        <v>700</v>
      </c>
      <c r="E1277" s="191">
        <f>INPUT!N63/COS(I1277)/INPUT!O63</f>
        <v>235.16819383874085</v>
      </c>
      <c r="F1277" s="174">
        <f>MAX(INPUT!X63,INPUT!Y63)-INPUT!U63</f>
        <v>3700</v>
      </c>
      <c r="G1277" s="174">
        <f>INPUT!U63</f>
        <v>2400</v>
      </c>
      <c r="H1277" s="174">
        <f>MAX(INPUT!V63,INPUT!W63)-INPUT!U63/2</f>
        <v>1200</v>
      </c>
      <c r="I1277" s="174">
        <f>INPUT!P63</f>
        <v>0.125</v>
      </c>
      <c r="J1277" s="191">
        <f>IF(OR(L259="1",L259="a"),M259,IF(OR(L259="b",L259="c",L259="d",L259="8"),H534-M259,0))/COS(I1277)</f>
        <v>1566.9520768766395</v>
      </c>
      <c r="K1277" s="343">
        <f>INPUT!O63</f>
        <v>12</v>
      </c>
      <c r="L1277" s="291" t="str">
        <f>IF(B1277="Positive",IF(C1277=0,(IF(AND(INPUT!AO63&lt;=455,INPUT!AQ63&lt;455,E1277&lt;=IF(D1277=0,1000,150),0.8*G1277&lt;=F1277,1.2*G1277&gt;=F1277,I1277&lt;=0.25,H1277&lt;=MIN(F1277,1800),2*J1277/K1277&lt;=3.76*SQRT(INPUT!$B$2/INPUT!AO63)),"compact","noncompact")),"noncompact"),"-")</f>
        <v>-</v>
      </c>
      <c r="M1277" s="379"/>
      <c r="N1277" s="4"/>
    </row>
    <row r="1278">
      <c r="A1278" s="187">
        <f>A1198</f>
        <v>101</v>
      </c>
      <c r="B1278" s="174" t="str">
        <f>B1198</f>
        <v>Negative</v>
      </c>
      <c r="C1278" s="174">
        <f>INPUT!G64</f>
        <v>0</v>
      </c>
      <c r="D1278" s="174">
        <f>IF(INPUT!AB64=1,0.2,IF(INPUT!AB64=2,0.25,0))*INPUT!N64</f>
        <v>700</v>
      </c>
      <c r="E1278" s="191">
        <f>INPUT!N64/COS(I1278)/INPUT!O64</f>
        <v>235.16819383874085</v>
      </c>
      <c r="F1278" s="174">
        <f>MAX(INPUT!X64,INPUT!Y64)-INPUT!U64</f>
        <v>3700</v>
      </c>
      <c r="G1278" s="174">
        <f>INPUT!U64</f>
        <v>2400</v>
      </c>
      <c r="H1278" s="174">
        <f>MAX(INPUT!V64,INPUT!W64)-INPUT!U64/2</f>
        <v>1200</v>
      </c>
      <c r="I1278" s="174">
        <f>INPUT!P64</f>
        <v>0.125</v>
      </c>
      <c r="J1278" s="191">
        <f>IF(OR(L260="1",L260="a"),M260,IF(OR(L260="b",L260="c",L260="d",L260="8"),H535-M260,0))/COS(I1278)</f>
        <v>1566.9520768766395</v>
      </c>
      <c r="K1278" s="343">
        <f>INPUT!O64</f>
        <v>12</v>
      </c>
      <c r="L1278" s="291" t="str">
        <f>IF(B1278="Positive",IF(C1278=0,(IF(AND(INPUT!AO64&lt;=455,INPUT!AQ64&lt;455,E1278&lt;=IF(D1278=0,1000,150),0.8*G1278&lt;=F1278,1.2*G1278&gt;=F1278,I1278&lt;=0.25,H1278&lt;=MIN(F1278,1800),2*J1278/K1278&lt;=3.76*SQRT(INPUT!$B$2/INPUT!AO64)),"compact","noncompact")),"noncompact"),"-")</f>
        <v>-</v>
      </c>
      <c r="M1278" s="379"/>
      <c r="N1278" s="4"/>
    </row>
    <row r="1279">
      <c r="A1279" s="187">
        <f>A1199</f>
        <v>101</v>
      </c>
      <c r="B1279" s="174" t="str">
        <f>B1199</f>
        <v>Negative</v>
      </c>
      <c r="C1279" s="174">
        <f>INPUT!G65</f>
        <v>0</v>
      </c>
      <c r="D1279" s="174">
        <f>IF(INPUT!AB65=1,0.2,IF(INPUT!AB65=2,0.25,0))*INPUT!N65</f>
        <v>700</v>
      </c>
      <c r="E1279" s="191">
        <f>INPUT!N65/COS(I1279)/INPUT!O65</f>
        <v>235.16819383874085</v>
      </c>
      <c r="F1279" s="174">
        <f>MAX(INPUT!X65,INPUT!Y65)-INPUT!U65</f>
        <v>3700</v>
      </c>
      <c r="G1279" s="174">
        <f>INPUT!U65</f>
        <v>2400</v>
      </c>
      <c r="H1279" s="174">
        <f>MAX(INPUT!V65,INPUT!W65)-INPUT!U65/2</f>
        <v>1200</v>
      </c>
      <c r="I1279" s="174">
        <f>INPUT!P65</f>
        <v>0.125</v>
      </c>
      <c r="J1279" s="191">
        <f>IF(OR(L261="1",L261="a"),M261,IF(OR(L261="b",L261="c",L261="d",L261="8"),H536-M261,0))/COS(I1279)</f>
        <v>1566.9520768766395</v>
      </c>
      <c r="K1279" s="343">
        <f>INPUT!O65</f>
        <v>12</v>
      </c>
      <c r="L1279" s="291" t="str">
        <f>IF(B1279="Positive",IF(C1279=0,(IF(AND(INPUT!AO65&lt;=455,INPUT!AQ65&lt;455,E1279&lt;=IF(D1279=0,1000,150),0.8*G1279&lt;=F1279,1.2*G1279&gt;=F1279,I1279&lt;=0.25,H1279&lt;=MIN(F1279,1800),2*J1279/K1279&lt;=3.76*SQRT(INPUT!$B$2/INPUT!AO65)),"compact","noncompact")),"noncompact"),"-")</f>
        <v>-</v>
      </c>
      <c r="M1279" s="379"/>
      <c r="N1279" s="4"/>
    </row>
    <row r="1280">
      <c r="A1280" s="187">
        <f>A1200</f>
        <v>101</v>
      </c>
      <c r="B1280" s="174" t="str">
        <f>B1200</f>
        <v>Negative</v>
      </c>
      <c r="C1280" s="174">
        <f>INPUT!G66</f>
        <v>0</v>
      </c>
      <c r="D1280" s="174">
        <f>IF(INPUT!AB66=1,0.2,IF(INPUT!AB66=2,0.25,0))*INPUT!N66</f>
        <v>700</v>
      </c>
      <c r="E1280" s="191">
        <f>INPUT!N66/COS(I1280)/INPUT!O66</f>
        <v>235.16819383874085</v>
      </c>
      <c r="F1280" s="174">
        <f>MAX(INPUT!X66,INPUT!Y66)-INPUT!U66</f>
        <v>3700</v>
      </c>
      <c r="G1280" s="174">
        <f>INPUT!U66</f>
        <v>2400</v>
      </c>
      <c r="H1280" s="174">
        <f>MAX(INPUT!V66,INPUT!W66)-INPUT!U66/2</f>
        <v>1200</v>
      </c>
      <c r="I1280" s="174">
        <f>INPUT!P66</f>
        <v>0.125</v>
      </c>
      <c r="J1280" s="191">
        <f>IF(OR(L262="1",L262="a"),M262,IF(OR(L262="b",L262="c",L262="d",L262="8"),H537-M262,0))/COS(I1280)</f>
        <v>1566.9520768766395</v>
      </c>
      <c r="K1280" s="343">
        <f>INPUT!O66</f>
        <v>12</v>
      </c>
      <c r="L1280" s="291" t="str">
        <f>IF(B1280="Positive",IF(C1280=0,(IF(AND(INPUT!AO66&lt;=455,INPUT!AQ66&lt;455,E1280&lt;=IF(D1280=0,1000,150),0.8*G1280&lt;=F1280,1.2*G1280&gt;=F1280,I1280&lt;=0.25,H1280&lt;=MIN(F1280,1800),2*J1280/K1280&lt;=3.76*SQRT(INPUT!$B$2/INPUT!AO66)),"compact","noncompact")),"noncompact"),"-")</f>
        <v>-</v>
      </c>
      <c r="M1280" s="379"/>
      <c r="N1280" s="4"/>
    </row>
    <row r="1281">
      <c r="A1281" s="187">
        <f>A1201</f>
        <v>101</v>
      </c>
      <c r="B1281" s="174" t="str">
        <f>B1201</f>
        <v>Negative</v>
      </c>
      <c r="C1281" s="174">
        <f>INPUT!G67</f>
        <v>0</v>
      </c>
      <c r="D1281" s="174">
        <f>IF(INPUT!AB67=1,0.2,IF(INPUT!AB67=2,0.25,0))*INPUT!N67</f>
        <v>700</v>
      </c>
      <c r="E1281" s="191">
        <f>INPUT!N67/COS(I1281)/INPUT!O67</f>
        <v>235.16819383874085</v>
      </c>
      <c r="F1281" s="174">
        <f>MAX(INPUT!X67,INPUT!Y67)-INPUT!U67</f>
        <v>3700</v>
      </c>
      <c r="G1281" s="174">
        <f>INPUT!U67</f>
        <v>2400</v>
      </c>
      <c r="H1281" s="174">
        <f>MAX(INPUT!V67,INPUT!W67)-INPUT!U67/2</f>
        <v>1200</v>
      </c>
      <c r="I1281" s="174">
        <f>INPUT!P67</f>
        <v>0.125</v>
      </c>
      <c r="J1281" s="191">
        <f>IF(OR(L263="1",L263="a"),M263,IF(OR(L263="b",L263="c",L263="d",L263="8"),H538-M263,0))/COS(I1281)</f>
        <v>1566.9520768766395</v>
      </c>
      <c r="K1281" s="343">
        <f>INPUT!O67</f>
        <v>12</v>
      </c>
      <c r="L1281" s="291" t="str">
        <f>IF(B1281="Positive",IF(C1281=0,(IF(AND(INPUT!AO67&lt;=455,INPUT!AQ67&lt;455,E1281&lt;=IF(D1281=0,1000,150),0.8*G1281&lt;=F1281,1.2*G1281&gt;=F1281,I1281&lt;=0.25,H1281&lt;=MIN(F1281,1800),2*J1281/K1281&lt;=3.76*SQRT(INPUT!$B$2/INPUT!AO67)),"compact","noncompact")),"noncompact"),"-")</f>
        <v>-</v>
      </c>
      <c r="M1281" s="379"/>
      <c r="N1281" s="4"/>
    </row>
    <row r="1282">
      <c r="A1282" s="187">
        <f>A1202</f>
        <v>101</v>
      </c>
      <c r="B1282" s="174" t="str">
        <f>B1202</f>
        <v>Negative</v>
      </c>
      <c r="C1282" s="174">
        <f>INPUT!G68</f>
        <v>0</v>
      </c>
      <c r="D1282" s="174">
        <f>IF(INPUT!AB68=1,0.2,IF(INPUT!AB68=2,0.25,0))*INPUT!N68</f>
        <v>700</v>
      </c>
      <c r="E1282" s="191">
        <f>INPUT!N68/COS(I1282)/INPUT!O68</f>
        <v>235.16819383874085</v>
      </c>
      <c r="F1282" s="174">
        <f>MAX(INPUT!X68,INPUT!Y68)-INPUT!U68</f>
        <v>3700</v>
      </c>
      <c r="G1282" s="174">
        <f>INPUT!U68</f>
        <v>2400</v>
      </c>
      <c r="H1282" s="174">
        <f>MAX(INPUT!V68,INPUT!W68)-INPUT!U68/2</f>
        <v>1200</v>
      </c>
      <c r="I1282" s="174">
        <f>INPUT!P68</f>
        <v>0.125</v>
      </c>
      <c r="J1282" s="191">
        <f>IF(OR(L264="1",L264="a"),M264,IF(OR(L264="b",L264="c",L264="d",L264="8"),H539-M264,0))/COS(I1282)</f>
        <v>1566.9520768766395</v>
      </c>
      <c r="K1282" s="343">
        <f>INPUT!O68</f>
        <v>12</v>
      </c>
      <c r="L1282" s="291" t="str">
        <f>IF(B1282="Positive",IF(C1282=0,(IF(AND(INPUT!AO68&lt;=455,INPUT!AQ68&lt;455,E1282&lt;=IF(D1282=0,1000,150),0.8*G1282&lt;=F1282,1.2*G1282&gt;=F1282,I1282&lt;=0.25,H1282&lt;=MIN(F1282,1800),2*J1282/K1282&lt;=3.76*SQRT(INPUT!$B$2/INPUT!AO68)),"compact","noncompact")),"noncompact"),"-")</f>
        <v>-</v>
      </c>
      <c r="M1282" s="379"/>
      <c r="N1282" s="4"/>
    </row>
    <row r="1283">
      <c r="A1283" s="187">
        <f>A1203</f>
        <v>101</v>
      </c>
      <c r="B1283" s="174" t="str">
        <f>B1203</f>
        <v>Negative</v>
      </c>
      <c r="C1283" s="174">
        <f>INPUT!G69</f>
        <v>0</v>
      </c>
      <c r="D1283" s="174">
        <f>IF(INPUT!AB69=1,0.2,IF(INPUT!AB69=2,0.25,0))*INPUT!N69</f>
        <v>700</v>
      </c>
      <c r="E1283" s="191">
        <f>INPUT!N69/COS(I1283)/INPUT!O69</f>
        <v>235.16819383874085</v>
      </c>
      <c r="F1283" s="174">
        <f>MAX(INPUT!X69,INPUT!Y69)-INPUT!U69</f>
        <v>3700</v>
      </c>
      <c r="G1283" s="174">
        <f>INPUT!U69</f>
        <v>2400</v>
      </c>
      <c r="H1283" s="174">
        <f>MAX(INPUT!V69,INPUT!W69)-INPUT!U69/2</f>
        <v>1200</v>
      </c>
      <c r="I1283" s="174">
        <f>INPUT!P69</f>
        <v>0.125</v>
      </c>
      <c r="J1283" s="191">
        <f>IF(OR(L265="1",L265="a"),M265,IF(OR(L265="b",L265="c",L265="d",L265="8"),H540-M265,0))/COS(I1283)</f>
        <v>1566.9520768766395</v>
      </c>
      <c r="K1283" s="343">
        <f>INPUT!O69</f>
        <v>12</v>
      </c>
      <c r="L1283" s="291" t="str">
        <f>IF(B1283="Positive",IF(C1283=0,(IF(AND(INPUT!AO69&lt;=455,INPUT!AQ69&lt;455,E1283&lt;=IF(D1283=0,1000,150),0.8*G1283&lt;=F1283,1.2*G1283&gt;=F1283,I1283&lt;=0.25,H1283&lt;=MIN(F1283,1800),2*J1283/K1283&lt;=3.76*SQRT(INPUT!$B$2/INPUT!AO69)),"compact","noncompact")),"noncompact"),"-")</f>
        <v>-</v>
      </c>
      <c r="M1283" s="379"/>
      <c r="N1283" s="4"/>
    </row>
    <row r="1284">
      <c r="A1284" s="187">
        <f>A1204</f>
        <v>101</v>
      </c>
      <c r="B1284" s="174" t="str">
        <f>B1204</f>
        <v>Negative</v>
      </c>
      <c r="C1284" s="174">
        <f>INPUT!G70</f>
        <v>0</v>
      </c>
      <c r="D1284" s="174">
        <f>IF(INPUT!AB70=1,0.2,IF(INPUT!AB70=2,0.25,0))*INPUT!N70</f>
        <v>700</v>
      </c>
      <c r="E1284" s="191">
        <f>INPUT!N70/COS(I1284)/INPUT!O70</f>
        <v>235.16819383874085</v>
      </c>
      <c r="F1284" s="174">
        <f>MAX(INPUT!X70,INPUT!Y70)-INPUT!U70</f>
        <v>3700</v>
      </c>
      <c r="G1284" s="174">
        <f>INPUT!U70</f>
        <v>2400</v>
      </c>
      <c r="H1284" s="174">
        <f>MAX(INPUT!V70,INPUT!W70)-INPUT!U70/2</f>
        <v>1200</v>
      </c>
      <c r="I1284" s="174">
        <f>INPUT!P70</f>
        <v>0.125</v>
      </c>
      <c r="J1284" s="191">
        <f>IF(OR(L266="1",L266="a"),M266,IF(OR(L266="b",L266="c",L266="d",L266="8"),H541-M266,0))/COS(I1284)</f>
        <v>1566.9520768766395</v>
      </c>
      <c r="K1284" s="343">
        <f>INPUT!O70</f>
        <v>12</v>
      </c>
      <c r="L1284" s="291" t="str">
        <f>IF(B1284="Positive",IF(C1284=0,(IF(AND(INPUT!AO70&lt;=455,INPUT!AQ70&lt;455,E1284&lt;=IF(D1284=0,1000,150),0.8*G1284&lt;=F1284,1.2*G1284&gt;=F1284,I1284&lt;=0.25,H1284&lt;=MIN(F1284,1800),2*J1284/K1284&lt;=3.76*SQRT(INPUT!$B$2/INPUT!AO70)),"compact","noncompact")),"noncompact"),"-")</f>
        <v>-</v>
      </c>
      <c r="M1284" s="379"/>
      <c r="N1284" s="4"/>
    </row>
    <row r="1285">
      <c r="A1285" s="187">
        <f>A1205</f>
        <v>101</v>
      </c>
      <c r="B1285" s="174" t="str">
        <f>B1205</f>
        <v>Negative</v>
      </c>
      <c r="C1285" s="174">
        <f>INPUT!G71</f>
        <v>0</v>
      </c>
      <c r="D1285" s="174">
        <f>IF(INPUT!AB71=1,0.2,IF(INPUT!AB71=2,0.25,0))*INPUT!N71</f>
        <v>700</v>
      </c>
      <c r="E1285" s="191">
        <f>INPUT!N71/COS(I1285)/INPUT!O71</f>
        <v>235.16819383874085</v>
      </c>
      <c r="F1285" s="174">
        <f>MAX(INPUT!X71,INPUT!Y71)-INPUT!U71</f>
        <v>3700</v>
      </c>
      <c r="G1285" s="174">
        <f>INPUT!U71</f>
        <v>2400</v>
      </c>
      <c r="H1285" s="174">
        <f>MAX(INPUT!V71,INPUT!W71)-INPUT!U71/2</f>
        <v>1200</v>
      </c>
      <c r="I1285" s="174">
        <f>INPUT!P71</f>
        <v>0.125</v>
      </c>
      <c r="J1285" s="191">
        <f>IF(OR(L267="1",L267="a"),M267,IF(OR(L267="b",L267="c",L267="d",L267="8"),H542-M267,0))/COS(I1285)</f>
        <v>1566.9520768766395</v>
      </c>
      <c r="K1285" s="343">
        <f>INPUT!O71</f>
        <v>12</v>
      </c>
      <c r="L1285" s="291" t="str">
        <f>IF(B1285="Positive",IF(C1285=0,(IF(AND(INPUT!AO71&lt;=455,INPUT!AQ71&lt;455,E1285&lt;=IF(D1285=0,1000,150),0.8*G1285&lt;=F1285,1.2*G1285&gt;=F1285,I1285&lt;=0.25,H1285&lt;=MIN(F1285,1800),2*J1285/K1285&lt;=3.76*SQRT(INPUT!$B$2/INPUT!AO71)),"compact","noncompact")),"noncompact"),"-")</f>
        <v>-</v>
      </c>
      <c r="M1285" s="379"/>
      <c r="N1285" s="4"/>
    </row>
    <row r="1286">
      <c r="A1286" s="187">
        <f>A1206</f>
        <v>101</v>
      </c>
      <c r="B1286" s="174" t="str">
        <f>B1206</f>
        <v>Negative</v>
      </c>
      <c r="C1286" s="174">
        <f>INPUT!G72</f>
        <v>0</v>
      </c>
      <c r="D1286" s="174">
        <f>IF(INPUT!AB72=1,0.2,IF(INPUT!AB72=2,0.25,0))*INPUT!N72</f>
        <v>700</v>
      </c>
      <c r="E1286" s="191">
        <f>INPUT!N72/COS(I1286)/INPUT!O72</f>
        <v>235.16819383874085</v>
      </c>
      <c r="F1286" s="174">
        <f>MAX(INPUT!X72,INPUT!Y72)-INPUT!U72</f>
        <v>3700</v>
      </c>
      <c r="G1286" s="174">
        <f>INPUT!U72</f>
        <v>2400</v>
      </c>
      <c r="H1286" s="174">
        <f>MAX(INPUT!V72,INPUT!W72)-INPUT!U72/2</f>
        <v>1200</v>
      </c>
      <c r="I1286" s="174">
        <f>INPUT!P72</f>
        <v>0.125</v>
      </c>
      <c r="J1286" s="191">
        <f>IF(OR(L268="1",L268="a"),M268,IF(OR(L268="b",L268="c",L268="d",L268="8"),H543-M268,0))/COS(I1286)</f>
        <v>1566.9520768766395</v>
      </c>
      <c r="K1286" s="343">
        <f>INPUT!O72</f>
        <v>12</v>
      </c>
      <c r="L1286" s="291" t="str">
        <f>IF(B1286="Positive",IF(C1286=0,(IF(AND(INPUT!AO72&lt;=455,INPUT!AQ72&lt;455,E1286&lt;=IF(D1286=0,1000,150),0.8*G1286&lt;=F1286,1.2*G1286&gt;=F1286,I1286&lt;=0.25,H1286&lt;=MIN(F1286,1800),2*J1286/K1286&lt;=3.76*SQRT(INPUT!$B$2/INPUT!AO72)),"compact","noncompact")),"noncompact"),"-")</f>
        <v>-</v>
      </c>
      <c r="M1286" s="379"/>
      <c r="N1286" s="4"/>
    </row>
    <row r="1287">
      <c r="A1287" s="187">
        <f>A1207</f>
        <v>101</v>
      </c>
      <c r="B1287" s="174" t="str">
        <f>B1207</f>
        <v>Negative</v>
      </c>
      <c r="C1287" s="174">
        <f>INPUT!G73</f>
        <v>0</v>
      </c>
      <c r="D1287" s="174">
        <f>IF(INPUT!AB73=1,0.2,IF(INPUT!AB73=2,0.25,0))*INPUT!N73</f>
        <v>700</v>
      </c>
      <c r="E1287" s="191">
        <f>INPUT!N73/COS(I1287)/INPUT!O73</f>
        <v>235.16819383874085</v>
      </c>
      <c r="F1287" s="174">
        <f>MAX(INPUT!X73,INPUT!Y73)-INPUT!U73</f>
        <v>3700</v>
      </c>
      <c r="G1287" s="174">
        <f>INPUT!U73</f>
        <v>2400</v>
      </c>
      <c r="H1287" s="174">
        <f>MAX(INPUT!V73,INPUT!W73)-INPUT!U73/2</f>
        <v>1200</v>
      </c>
      <c r="I1287" s="174">
        <f>INPUT!P73</f>
        <v>0.125</v>
      </c>
      <c r="J1287" s="191">
        <f>IF(OR(L269="1",L269="a"),M269,IF(OR(L269="b",L269="c",L269="d",L269="8"),H544-M269,0))/COS(I1287)</f>
        <v>1566.9520768766395</v>
      </c>
      <c r="K1287" s="343">
        <f>INPUT!O73</f>
        <v>12</v>
      </c>
      <c r="L1287" s="291" t="str">
        <f>IF(B1287="Positive",IF(C1287=0,(IF(AND(INPUT!AO73&lt;=455,INPUT!AQ73&lt;455,E1287&lt;=IF(D1287=0,1000,150),0.8*G1287&lt;=F1287,1.2*G1287&gt;=F1287,I1287&lt;=0.25,H1287&lt;=MIN(F1287,1800),2*J1287/K1287&lt;=3.76*SQRT(INPUT!$B$2/INPUT!AO73)),"compact","noncompact")),"noncompact"),"-")</f>
        <v>-</v>
      </c>
      <c r="M1287" s="379"/>
      <c r="N1287" s="4"/>
    </row>
    <row r="1288">
      <c r="A1288" s="187">
        <f>A1208</f>
        <v>101</v>
      </c>
      <c r="B1288" s="174" t="str">
        <f>B1208</f>
        <v>Negative</v>
      </c>
      <c r="C1288" s="174">
        <f>INPUT!G74</f>
        <v>0</v>
      </c>
      <c r="D1288" s="174">
        <f>IF(INPUT!AB74=1,0.2,IF(INPUT!AB74=2,0.25,0))*INPUT!N74</f>
        <v>700</v>
      </c>
      <c r="E1288" s="191">
        <f>INPUT!N74/COS(I1288)/INPUT!O74</f>
        <v>235.16819383874085</v>
      </c>
      <c r="F1288" s="174">
        <f>MAX(INPUT!X74,INPUT!Y74)-INPUT!U74</f>
        <v>3700</v>
      </c>
      <c r="G1288" s="174">
        <f>INPUT!U74</f>
        <v>2400</v>
      </c>
      <c r="H1288" s="174">
        <f>MAX(INPUT!V74,INPUT!W74)-INPUT!U74/2</f>
        <v>1200</v>
      </c>
      <c r="I1288" s="174">
        <f>INPUT!P74</f>
        <v>0.125</v>
      </c>
      <c r="J1288" s="191">
        <f>IF(OR(L270="1",L270="a"),M270,IF(OR(L270="b",L270="c",L270="d",L270="8"),H545-M270,0))/COS(I1288)</f>
        <v>1566.9520768766395</v>
      </c>
      <c r="K1288" s="343">
        <f>INPUT!O74</f>
        <v>12</v>
      </c>
      <c r="L1288" s="291" t="str">
        <f>IF(B1288="Positive",IF(C1288=0,(IF(AND(INPUT!AO74&lt;=455,INPUT!AQ74&lt;455,E1288&lt;=IF(D1288=0,1000,150),0.8*G1288&lt;=F1288,1.2*G1288&gt;=F1288,I1288&lt;=0.25,H1288&lt;=MIN(F1288,1800),2*J1288/K1288&lt;=3.76*SQRT(INPUT!$B$2/INPUT!AO74)),"compact","noncompact")),"noncompact"),"-")</f>
        <v>-</v>
      </c>
      <c r="M1288" s="379"/>
      <c r="N1288" s="4"/>
    </row>
    <row r="1289">
      <c r="A1289" s="187">
        <f>A1209</f>
        <v>101</v>
      </c>
      <c r="B1289" s="174" t="str">
        <f>B1209</f>
        <v>Negative</v>
      </c>
      <c r="C1289" s="174">
        <f>INPUT!G75</f>
        <v>0</v>
      </c>
      <c r="D1289" s="174">
        <f>IF(INPUT!AB75=1,0.2,IF(INPUT!AB75=2,0.25,0))*INPUT!N75</f>
        <v>700</v>
      </c>
      <c r="E1289" s="191">
        <f>INPUT!N75/COS(I1289)/INPUT!O75</f>
        <v>235.16819383874085</v>
      </c>
      <c r="F1289" s="174">
        <f>MAX(INPUT!X75,INPUT!Y75)-INPUT!U75</f>
        <v>3700</v>
      </c>
      <c r="G1289" s="174">
        <f>INPUT!U75</f>
        <v>2400</v>
      </c>
      <c r="H1289" s="174">
        <f>MAX(INPUT!V75,INPUT!W75)-INPUT!U75/2</f>
        <v>1200</v>
      </c>
      <c r="I1289" s="174">
        <f>INPUT!P75</f>
        <v>0.125</v>
      </c>
      <c r="J1289" s="191">
        <f>IF(OR(L271="1",L271="a"),M271,IF(OR(L271="b",L271="c",L271="d",L271="8"),H546-M271,0))/COS(I1289)</f>
        <v>1566.9520768766395</v>
      </c>
      <c r="K1289" s="343">
        <f>INPUT!O75</f>
        <v>12</v>
      </c>
      <c r="L1289" s="291" t="str">
        <f>IF(B1289="Positive",IF(C1289=0,(IF(AND(INPUT!AO75&lt;=455,INPUT!AQ75&lt;455,E1289&lt;=IF(D1289=0,1000,150),0.8*G1289&lt;=F1289,1.2*G1289&gt;=F1289,I1289&lt;=0.25,H1289&lt;=MIN(F1289,1800),2*J1289/K1289&lt;=3.76*SQRT(INPUT!$B$2/INPUT!AO75)),"compact","noncompact")),"noncompact"),"-")</f>
        <v>-</v>
      </c>
      <c r="M1289" s="379"/>
      <c r="N1289" s="4"/>
    </row>
    <row r="1290">
      <c r="A1290" s="187">
        <f>A1210</f>
        <v>101</v>
      </c>
      <c r="B1290" s="174" t="str">
        <f>B1210</f>
        <v>Negative</v>
      </c>
      <c r="C1290" s="174">
        <f>INPUT!G76</f>
        <v>0</v>
      </c>
      <c r="D1290" s="174">
        <f>IF(INPUT!AB76=1,0.2,IF(INPUT!AB76=2,0.25,0))*INPUT!N76</f>
        <v>700</v>
      </c>
      <c r="E1290" s="191">
        <f>INPUT!N76/COS(I1290)/INPUT!O76</f>
        <v>235.16819383874085</v>
      </c>
      <c r="F1290" s="174">
        <f>MAX(INPUT!X76,INPUT!Y76)-INPUT!U76</f>
        <v>3700</v>
      </c>
      <c r="G1290" s="174">
        <f>INPUT!U76</f>
        <v>2400</v>
      </c>
      <c r="H1290" s="174">
        <f>MAX(INPUT!V76,INPUT!W76)-INPUT!U76/2</f>
        <v>1200</v>
      </c>
      <c r="I1290" s="174">
        <f>INPUT!P76</f>
        <v>0.125</v>
      </c>
      <c r="J1290" s="191">
        <f>IF(OR(L272="1",L272="a"),M272,IF(OR(L272="b",L272="c",L272="d",L272="8"),H547-M272,0))/COS(I1290)</f>
        <v>1566.9520768766395</v>
      </c>
      <c r="K1290" s="343">
        <f>INPUT!O76</f>
        <v>12</v>
      </c>
      <c r="L1290" s="291" t="str">
        <f>IF(B1290="Positive",IF(C1290=0,(IF(AND(INPUT!AO76&lt;=455,INPUT!AQ76&lt;455,E1290&lt;=IF(D1290=0,1000,150),0.8*G1290&lt;=F1290,1.2*G1290&gt;=F1290,I1290&lt;=0.25,H1290&lt;=MIN(F1290,1800),2*J1290/K1290&lt;=3.76*SQRT(INPUT!$B$2/INPUT!AO76)),"compact","noncompact")),"noncompact"),"-")</f>
        <v>-</v>
      </c>
      <c r="M1290" s="379"/>
      <c r="N1290" s="4"/>
    </row>
    <row r="1291">
      <c r="A1291" s="187">
        <f>A1211</f>
        <v>101</v>
      </c>
      <c r="B1291" s="174" t="str">
        <f>B1211</f>
        <v>Negative</v>
      </c>
      <c r="C1291" s="174">
        <f>INPUT!G77</f>
        <v>0</v>
      </c>
      <c r="D1291" s="174">
        <f>IF(INPUT!AB77=1,0.2,IF(INPUT!AB77=2,0.25,0))*INPUT!N77</f>
        <v>700</v>
      </c>
      <c r="E1291" s="191">
        <f>INPUT!N77/COS(I1291)/INPUT!O77</f>
        <v>235.16819383874085</v>
      </c>
      <c r="F1291" s="174">
        <f>MAX(INPUT!X77,INPUT!Y77)-INPUT!U77</f>
        <v>3700</v>
      </c>
      <c r="G1291" s="174">
        <f>INPUT!U77</f>
        <v>2400</v>
      </c>
      <c r="H1291" s="174">
        <f>MAX(INPUT!V77,INPUT!W77)-INPUT!U77/2</f>
        <v>1200</v>
      </c>
      <c r="I1291" s="174">
        <f>INPUT!P77</f>
        <v>0.125</v>
      </c>
      <c r="J1291" s="191">
        <f>IF(OR(L273="1",L273="a"),M273,IF(OR(L273="b",L273="c",L273="d",L273="8"),H548-M273,0))/COS(I1291)</f>
        <v>1566.9520768766395</v>
      </c>
      <c r="K1291" s="343">
        <f>INPUT!O77</f>
        <v>12</v>
      </c>
      <c r="L1291" s="291" t="str">
        <f>IF(B1291="Positive",IF(C1291=0,(IF(AND(INPUT!AO77&lt;=455,INPUT!AQ77&lt;455,E1291&lt;=IF(D1291=0,1000,150),0.8*G1291&lt;=F1291,1.2*G1291&gt;=F1291,I1291&lt;=0.25,H1291&lt;=MIN(F1291,1800),2*J1291/K1291&lt;=3.76*SQRT(INPUT!$B$2/INPUT!AO77)),"compact","noncompact")),"noncompact"),"-")</f>
        <v>-</v>
      </c>
      <c r="M1291" s="379"/>
      <c r="N1291" s="4"/>
    </row>
    <row r="1292">
      <c r="A1292" s="187">
        <f>A1212</f>
        <v>101</v>
      </c>
      <c r="B1292" s="174" t="str">
        <f>B1212</f>
        <v>Negative</v>
      </c>
      <c r="C1292" s="174">
        <f>INPUT!G78</f>
        <v>0</v>
      </c>
      <c r="D1292" s="174">
        <f>IF(INPUT!AB78=1,0.2,IF(INPUT!AB78=2,0.25,0))*INPUT!N78</f>
        <v>700</v>
      </c>
      <c r="E1292" s="191">
        <f>INPUT!N78/COS(I1292)/INPUT!O78</f>
        <v>235.16819383874085</v>
      </c>
      <c r="F1292" s="174">
        <f>MAX(INPUT!X78,INPUT!Y78)-INPUT!U78</f>
        <v>3700</v>
      </c>
      <c r="G1292" s="174">
        <f>INPUT!U78</f>
        <v>2400</v>
      </c>
      <c r="H1292" s="174">
        <f>MAX(INPUT!V78,INPUT!W78)-INPUT!U78/2</f>
        <v>1200</v>
      </c>
      <c r="I1292" s="174">
        <f>INPUT!P78</f>
        <v>0.125</v>
      </c>
      <c r="J1292" s="191">
        <f>IF(OR(L274="1",L274="a"),M274,IF(OR(L274="b",L274="c",L274="d",L274="8"),H549-M274,0))/COS(I1292)</f>
        <v>1566.9520768766395</v>
      </c>
      <c r="K1292" s="343">
        <f>INPUT!O78</f>
        <v>12</v>
      </c>
      <c r="L1292" s="291" t="str">
        <f>IF(B1292="Positive",IF(C1292=0,(IF(AND(INPUT!AO78&lt;=455,INPUT!AQ78&lt;455,E1292&lt;=IF(D1292=0,1000,150),0.8*G1292&lt;=F1292,1.2*G1292&gt;=F1292,I1292&lt;=0.25,H1292&lt;=MIN(F1292,1800),2*J1292/K1292&lt;=3.76*SQRT(INPUT!$B$2/INPUT!AO78)),"compact","noncompact")),"noncompact"),"-")</f>
        <v>-</v>
      </c>
      <c r="M1292" s="379"/>
      <c r="N1292" s="4"/>
    </row>
    <row r="1293" ht="15" customHeight="1" s="4" customFormat="1">
      <c r="A1293" s="207"/>
      <c r="B1293" s="207"/>
      <c r="C1293" s="19"/>
      <c r="G1293" s="133"/>
      <c r="H1293" s="313"/>
      <c r="I1293" s="312"/>
      <c r="J1293" s="312"/>
      <c r="L1293" s="207"/>
      <c r="N1293" s="312"/>
      <c r="O1293" s="329"/>
      <c r="P1293" s="369"/>
      <c r="Q1293" s="312"/>
      <c r="R1293" s="312"/>
      <c r="S1293" s="312"/>
      <c r="T1293" s="312"/>
      <c r="U1293" s="312"/>
      <c r="V1293" s="312"/>
      <c r="W1293" s="312"/>
      <c r="X1293" s="312"/>
      <c r="Y1293" s="312"/>
      <c r="Z1293" s="312"/>
      <c r="AB1293" s="207"/>
      <c r="AE1293" s="207"/>
      <c r="AL1293" s="30"/>
      <c r="AM1293" s="30"/>
      <c r="AN1293" s="30"/>
      <c r="AO1293" s="30"/>
      <c r="AP1293" s="30"/>
    </row>
    <row r="1294" ht="15" customHeight="1" s="4" customFormat="1">
      <c r="A1294" s="212" t="s">
        <v>197</v>
      </c>
      <c r="B1294" s="19" t="s">
        <v>951</v>
      </c>
      <c r="C1294" s="312"/>
      <c r="D1294" s="312"/>
      <c r="E1294" s="312"/>
      <c r="F1294" s="312"/>
      <c r="G1294" s="133"/>
      <c r="H1294" s="133"/>
      <c r="I1294" s="312"/>
      <c r="J1294" s="312"/>
      <c r="K1294" s="312"/>
      <c r="L1294" s="312"/>
      <c r="M1294" s="312"/>
      <c r="N1294" s="312"/>
      <c r="O1294" s="329"/>
      <c r="P1294" s="369"/>
      <c r="Q1294" s="312"/>
      <c r="R1294" s="312"/>
      <c r="S1294" s="312"/>
      <c r="T1294" s="312"/>
      <c r="U1294" s="312"/>
      <c r="V1294" s="312"/>
      <c r="W1294" s="312"/>
      <c r="X1294" s="312"/>
      <c r="Y1294" s="312"/>
      <c r="Z1294" s="312"/>
      <c r="AB1294" s="132"/>
      <c r="AC1294" s="132"/>
      <c r="AD1294" s="312"/>
      <c r="AE1294" s="207"/>
      <c r="AL1294" s="30"/>
      <c r="AM1294" s="30"/>
      <c r="AN1294" s="30"/>
      <c r="AO1294" s="30"/>
      <c r="AP1294" s="30"/>
      <c r="AR1294" s="296"/>
      <c r="AS1294" s="296"/>
      <c r="AT1294" s="296"/>
      <c r="AU1294" s="296"/>
      <c r="AV1294" s="296"/>
      <c r="AW1294" s="332"/>
      <c r="AX1294" s="296"/>
    </row>
    <row r="1295" ht="15" customHeight="1" s="4" customFormat="1">
      <c r="A1295" s="19"/>
      <c r="B1295" s="207"/>
      <c r="C1295" s="312"/>
      <c r="D1295" s="312"/>
      <c r="E1295" s="312"/>
      <c r="F1295" s="312"/>
      <c r="G1295" s="133"/>
      <c r="H1295" s="133"/>
      <c r="I1295" s="312"/>
      <c r="J1295" s="312"/>
      <c r="K1295" s="312"/>
      <c r="L1295" s="312"/>
      <c r="M1295" s="312"/>
      <c r="N1295" s="312"/>
      <c r="O1295" s="329"/>
      <c r="P1295" s="369"/>
      <c r="Q1295" s="312"/>
      <c r="R1295" s="312"/>
      <c r="S1295" s="312"/>
      <c r="T1295" s="312"/>
      <c r="U1295" s="312"/>
      <c r="V1295" s="312"/>
      <c r="W1295" s="312"/>
      <c r="X1295" s="312"/>
      <c r="Y1295" s="312"/>
      <c r="Z1295" s="312"/>
      <c r="AB1295" s="132"/>
      <c r="AC1295" s="132"/>
      <c r="AD1295" s="312"/>
      <c r="AE1295" s="207"/>
      <c r="AL1295" s="30"/>
      <c r="AM1295" s="30"/>
      <c r="AN1295" s="30"/>
      <c r="AO1295" s="30"/>
      <c r="AP1295" s="30"/>
      <c r="AR1295" s="296"/>
      <c r="AS1295" s="296"/>
      <c r="AT1295" s="296"/>
      <c r="AU1295" s="296"/>
      <c r="AV1295" s="296"/>
      <c r="AW1295" s="332"/>
      <c r="AX1295" s="296"/>
    </row>
    <row r="1296" ht="15" customHeight="1" s="4" customFormat="1">
      <c r="A1296" s="40"/>
      <c r="B1296" s="586" t="s">
        <v>815</v>
      </c>
      <c r="C1296" s="498"/>
      <c r="D1296" s="498"/>
      <c r="E1296" s="498"/>
      <c r="F1296" s="498"/>
      <c r="G1296" s="498"/>
      <c r="H1296" s="498"/>
      <c r="I1296" s="587"/>
      <c r="J1296" s="588" t="s">
        <v>816</v>
      </c>
      <c r="K1296" s="589"/>
      <c r="L1296" s="589"/>
      <c r="M1296" s="590"/>
      <c r="O1296" s="296"/>
      <c r="P1296" s="64"/>
      <c r="Z1296" s="207"/>
      <c r="AB1296" s="207"/>
      <c r="AE1296" s="207"/>
    </row>
    <row r="1297" ht="15" customHeight="1" s="4" customFormat="1">
      <c r="A1297" s="40"/>
      <c r="B1297" s="594" t="s">
        <v>419</v>
      </c>
      <c r="C1297" s="595"/>
      <c r="D1297" s="595"/>
      <c r="E1297" s="596"/>
      <c r="F1297" s="597" t="s">
        <v>420</v>
      </c>
      <c r="G1297" s="598"/>
      <c r="H1297" s="598"/>
      <c r="I1297" s="599"/>
      <c r="J1297" s="591"/>
      <c r="K1297" s="592"/>
      <c r="L1297" s="592"/>
      <c r="M1297" s="593"/>
      <c r="O1297" s="296"/>
      <c r="P1297" s="64"/>
      <c r="Z1297" s="207"/>
      <c r="AB1297" s="207"/>
      <c r="AE1297" s="207"/>
    </row>
    <row r="1298" ht="15" customHeight="1" s="4" customFormat="1">
      <c r="A1298" s="40"/>
      <c r="B1298" s="605" t="s">
        <v>817</v>
      </c>
      <c r="C1298" s="606"/>
      <c r="D1298" s="606"/>
      <c r="E1298" s="607"/>
      <c r="F1298" s="608" t="s">
        <v>818</v>
      </c>
      <c r="G1298" s="606"/>
      <c r="H1298" s="606"/>
      <c r="I1298" s="609"/>
      <c r="J1298" s="610" t="s">
        <v>819</v>
      </c>
      <c r="K1298" s="606"/>
      <c r="L1298" s="606"/>
      <c r="M1298" s="611"/>
      <c r="O1298" s="296"/>
      <c r="P1298" s="64"/>
      <c r="Z1298" s="207"/>
      <c r="AB1298" s="207"/>
      <c r="AE1298" s="207"/>
    </row>
    <row r="1299" ht="15" customHeight="1" s="4" customFormat="1">
      <c r="A1299" s="40"/>
      <c r="B1299" s="612" t="s">
        <v>536</v>
      </c>
      <c r="C1299" s="613"/>
      <c r="D1299" s="613"/>
      <c r="E1299" s="614"/>
      <c r="F1299" s="615" t="s">
        <v>444</v>
      </c>
      <c r="G1299" s="613"/>
      <c r="H1299" s="613"/>
      <c r="I1299" s="616"/>
      <c r="J1299" s="617" t="s">
        <v>539</v>
      </c>
      <c r="K1299" s="613"/>
      <c r="L1299" s="613"/>
      <c r="M1299" s="618"/>
      <c r="O1299" s="296"/>
      <c r="P1299" s="64"/>
      <c r="Z1299" s="207"/>
      <c r="AB1299" s="207"/>
      <c r="AE1299" s="207"/>
    </row>
    <row r="1300" ht="15" customHeight="1" s="4" customFormat="1">
      <c r="A1300" s="40"/>
      <c r="B1300" s="34"/>
      <c r="C1300" s="147"/>
      <c r="D1300" s="147"/>
      <c r="E1300" s="147"/>
      <c r="F1300" s="309"/>
      <c r="G1300" s="310"/>
      <c r="H1300" s="147"/>
      <c r="I1300" s="147"/>
      <c r="J1300" s="311"/>
      <c r="K1300" s="147"/>
      <c r="L1300" s="35"/>
      <c r="M1300" s="37"/>
      <c r="O1300" s="296"/>
      <c r="P1300" s="64"/>
      <c r="Z1300" s="207"/>
      <c r="AB1300" s="207"/>
      <c r="AE1300" s="207"/>
    </row>
    <row r="1301" ht="15" customHeight="1" s="4" customFormat="1">
      <c r="A1301" s="205"/>
      <c r="B1301" s="207"/>
      <c r="C1301" s="312"/>
      <c r="D1301" s="312"/>
      <c r="E1301" s="312"/>
      <c r="F1301" s="312"/>
      <c r="G1301" s="312"/>
      <c r="H1301" s="312"/>
      <c r="I1301" s="312"/>
      <c r="J1301" s="312"/>
      <c r="K1301" s="133"/>
      <c r="L1301" s="133"/>
      <c r="M1301" s="312"/>
      <c r="N1301" s="312"/>
      <c r="O1301" s="350"/>
      <c r="P1301" s="367"/>
      <c r="Q1301" s="312"/>
      <c r="R1301" s="312"/>
      <c r="S1301" s="300"/>
      <c r="T1301" s="300"/>
      <c r="U1301" s="312"/>
      <c r="V1301" s="312"/>
      <c r="W1301" s="312"/>
      <c r="X1301" s="312"/>
      <c r="Y1301" s="312"/>
      <c r="Z1301" s="312"/>
      <c r="AB1301" s="207"/>
      <c r="AE1301" s="207"/>
    </row>
    <row r="1302" ht="15" customHeight="1" s="4" customFormat="1">
      <c r="A1302" s="333" t="s">
        <v>952</v>
      </c>
      <c r="B1302" s="207"/>
      <c r="C1302" s="312"/>
      <c r="D1302" s="312"/>
      <c r="E1302" s="312"/>
      <c r="F1302" s="312"/>
      <c r="G1302" s="312"/>
      <c r="H1302" s="312"/>
      <c r="I1302" s="312"/>
      <c r="J1302" s="312"/>
      <c r="K1302" s="133"/>
      <c r="L1302" s="133"/>
      <c r="M1302" s="312"/>
      <c r="N1302" s="312"/>
      <c r="O1302" s="350"/>
      <c r="P1302" s="367"/>
      <c r="Q1302" s="312"/>
      <c r="R1302" s="312"/>
      <c r="S1302" s="300"/>
      <c r="T1302" s="300"/>
      <c r="U1302" s="312"/>
      <c r="V1302" s="312"/>
      <c r="W1302" s="312"/>
      <c r="X1302" s="312"/>
      <c r="Y1302" s="312"/>
      <c r="Z1302" s="312"/>
      <c r="AB1302" s="207"/>
      <c r="AE1302" s="207"/>
    </row>
    <row r="1303" ht="15" customHeight="1" s="4" customFormat="1">
      <c r="A1303" s="135" t="s">
        <v>230</v>
      </c>
      <c r="B1303" s="78" t="s">
        <v>953</v>
      </c>
      <c r="C1303" s="78" t="s">
        <v>954</v>
      </c>
      <c r="D1303" s="452" t="s">
        <v>496</v>
      </c>
      <c r="E1303" s="494" t="s">
        <v>955</v>
      </c>
      <c r="F1303" s="498"/>
      <c r="G1303" s="498"/>
      <c r="H1303" s="495"/>
      <c r="I1303" s="452" t="s">
        <v>496</v>
      </c>
      <c r="J1303" s="494" t="s">
        <v>956</v>
      </c>
      <c r="K1303" s="498"/>
      <c r="L1303" s="498"/>
      <c r="M1303" s="537"/>
      <c r="O1303" s="350"/>
    </row>
    <row r="1304" ht="15" customHeight="1" s="4" customFormat="1">
      <c r="A1304" s="136"/>
      <c r="B1304" s="79"/>
      <c r="C1304" s="79"/>
      <c r="D1304" s="453" t="s">
        <v>957</v>
      </c>
      <c r="E1304" s="603" t="s">
        <v>958</v>
      </c>
      <c r="F1304" s="596"/>
      <c r="G1304" s="603" t="s">
        <v>959</v>
      </c>
      <c r="H1304" s="596"/>
      <c r="I1304" s="453" t="s">
        <v>960</v>
      </c>
      <c r="J1304" s="603" t="s">
        <v>958</v>
      </c>
      <c r="K1304" s="596"/>
      <c r="L1304" s="603" t="s">
        <v>959</v>
      </c>
      <c r="M1304" s="604"/>
      <c r="O1304" s="350"/>
    </row>
    <row r="1305" ht="15" customHeight="1">
      <c r="A1305" s="187">
        <f>A1217</f>
        <v>101</v>
      </c>
      <c r="B1305" s="191" t="e">
        <f>F1137</f>
        <v>#DIV/0!</v>
      </c>
      <c r="C1305" s="698">
        <f>G1137</f>
        <v>379.50847042889387</v>
      </c>
      <c r="D1305" s="699">
        <f>INPUT!CH3</f>
        <v>0.9348580328415943</v>
      </c>
      <c r="E1305" s="201" t="str">
        <f>IF(OR(L1217="compact",D1305&gt;=0),"-",IF(ABS(D1305)&lt;=B1305,"OK","NG"))</f>
        <v>-</v>
      </c>
      <c r="F1305" s="200" t="str">
        <f>IF(OR(L1217="compact",D1305&gt;=0),"-",B1305/ABS(D1305))</f>
        <v>-</v>
      </c>
      <c r="G1305" s="201" t="str">
        <f>IF(OR(L1217="compact",D1305&lt;=0),"-",IF(ABS(D1305)&lt;=C1305,"OK","NG"))</f>
        <v>OK</v>
      </c>
      <c r="H1305" s="200">
        <f>IF(OR(L1217="compact",D1305&lt;=0),"-",C1305/ABS(D1305))</f>
        <v>405.95305072722113</v>
      </c>
      <c r="I1305" s="699">
        <f>INPUT!CI3</f>
        <v>-0.88604962936538267</v>
      </c>
      <c r="J1305" s="201" t="e">
        <f>IF(OR(L1217="compact",I1305&gt;=0),"-",IF(ABS(I1305)&lt;=B1305,"OK","NG"))</f>
        <v>#DIV/0!</v>
      </c>
      <c r="K1305" s="200" t="e">
        <f>IF(OR(L1217="compact",I1305&gt;=0),"-",B1305/ABS(I1305))</f>
        <v>#DIV/0!</v>
      </c>
      <c r="L1305" s="201" t="str">
        <f>IF(OR(L1217="compact",I1305&lt;=0),"-",IF(ABS(I1305)&lt;=C1305,"OK","NG"))</f>
        <v>-</v>
      </c>
      <c r="M1305" s="203" t="str">
        <f>IF(OR(L1217="compact",I1305&lt;=0),"-",C1305/ABS(I1305))</f>
        <v>-</v>
      </c>
      <c r="O1305" s="350"/>
    </row>
    <row r="1306">
      <c r="A1306" s="187">
        <f>A1218</f>
        <v>101</v>
      </c>
      <c r="B1306" s="191" t="e">
        <f>F1138</f>
        <v>#DIV/0!</v>
      </c>
      <c r="C1306" s="698">
        <f>G1138</f>
        <v>379.50847042889387</v>
      </c>
      <c r="D1306" s="699">
        <f>INPUT!CH4</f>
        <v>0.9348580328415943</v>
      </c>
      <c r="E1306" s="201" t="str">
        <f>IF(OR(L1218="compact",D1306&gt;=0),"-",IF(ABS(D1306)&lt;=B1306,"OK","NG"))</f>
        <v>-</v>
      </c>
      <c r="F1306" s="200" t="str">
        <f>IF(OR(L1218="compact",D1306&gt;=0),"-",B1306/ABS(D1306))</f>
        <v>-</v>
      </c>
      <c r="G1306" s="201" t="str">
        <f>IF(OR(L1218="compact",D1306&lt;=0),"-",IF(ABS(D1306)&lt;=C1306,"OK","NG"))</f>
        <v>OK</v>
      </c>
      <c r="H1306" s="200">
        <f>IF(OR(L1218="compact",D1306&lt;=0),"-",C1306/ABS(D1306))</f>
        <v>405.95305072722113</v>
      </c>
      <c r="I1306" s="699">
        <f>INPUT!CI4</f>
        <v>-0.88604962936538267</v>
      </c>
      <c r="J1306" s="201" t="e">
        <f>IF(OR(L1218="compact",I1306&gt;=0),"-",IF(ABS(I1306)&lt;=B1306,"OK","NG"))</f>
        <v>#DIV/0!</v>
      </c>
      <c r="K1306" s="200" t="e">
        <f>IF(OR(L1218="compact",I1306&gt;=0),"-",B1306/ABS(I1306))</f>
        <v>#DIV/0!</v>
      </c>
      <c r="L1306" s="201" t="str">
        <f>IF(OR(L1218="compact",I1306&lt;=0),"-",IF(ABS(I1306)&lt;=C1306,"OK","NG"))</f>
        <v>-</v>
      </c>
      <c r="M1306" s="203" t="str">
        <f>IF(OR(L1218="compact",I1306&lt;=0),"-",C1306/ABS(I1306))</f>
        <v>-</v>
      </c>
      <c r="O1306" s="350"/>
    </row>
    <row r="1307">
      <c r="A1307" s="187">
        <f>A1219</f>
        <v>101</v>
      </c>
      <c r="B1307" s="191" t="e">
        <f>F1139</f>
        <v>#DIV/0!</v>
      </c>
      <c r="C1307" s="698">
        <f>G1139</f>
        <v>379.50847042889387</v>
      </c>
      <c r="D1307" s="699">
        <f>INPUT!CH5</f>
        <v>0.9348580328415943</v>
      </c>
      <c r="E1307" s="201" t="str">
        <f>IF(OR(L1219="compact",D1307&gt;=0),"-",IF(ABS(D1307)&lt;=B1307,"OK","NG"))</f>
        <v>-</v>
      </c>
      <c r="F1307" s="200" t="str">
        <f>IF(OR(L1219="compact",D1307&gt;=0),"-",B1307/ABS(D1307))</f>
        <v>-</v>
      </c>
      <c r="G1307" s="201" t="str">
        <f>IF(OR(L1219="compact",D1307&lt;=0),"-",IF(ABS(D1307)&lt;=C1307,"OK","NG"))</f>
        <v>OK</v>
      </c>
      <c r="H1307" s="200">
        <f>IF(OR(L1219="compact",D1307&lt;=0),"-",C1307/ABS(D1307))</f>
        <v>405.95305072722113</v>
      </c>
      <c r="I1307" s="699">
        <f>INPUT!CI5</f>
        <v>-0.88604962936538267</v>
      </c>
      <c r="J1307" s="201" t="e">
        <f>IF(OR(L1219="compact",I1307&gt;=0),"-",IF(ABS(I1307)&lt;=B1307,"OK","NG"))</f>
        <v>#DIV/0!</v>
      </c>
      <c r="K1307" s="200" t="e">
        <f>IF(OR(L1219="compact",I1307&gt;=0),"-",B1307/ABS(I1307))</f>
        <v>#DIV/0!</v>
      </c>
      <c r="L1307" s="201" t="str">
        <f>IF(OR(L1219="compact",I1307&lt;=0),"-",IF(ABS(I1307)&lt;=C1307,"OK","NG"))</f>
        <v>-</v>
      </c>
      <c r="M1307" s="203" t="str">
        <f>IF(OR(L1219="compact",I1307&lt;=0),"-",C1307/ABS(I1307))</f>
        <v>-</v>
      </c>
      <c r="O1307" s="350"/>
    </row>
    <row r="1308">
      <c r="A1308" s="187">
        <f>A1220</f>
        <v>101</v>
      </c>
      <c r="B1308" s="191" t="e">
        <f>F1140</f>
        <v>#DIV/0!</v>
      </c>
      <c r="C1308" s="698">
        <f>G1140</f>
        <v>379.50847042889387</v>
      </c>
      <c r="D1308" s="699">
        <f>INPUT!CH6</f>
        <v>0.9348580328415943</v>
      </c>
      <c r="E1308" s="201" t="str">
        <f>IF(OR(L1220="compact",D1308&gt;=0),"-",IF(ABS(D1308)&lt;=B1308,"OK","NG"))</f>
        <v>-</v>
      </c>
      <c r="F1308" s="200" t="str">
        <f>IF(OR(L1220="compact",D1308&gt;=0),"-",B1308/ABS(D1308))</f>
        <v>-</v>
      </c>
      <c r="G1308" s="201" t="str">
        <f>IF(OR(L1220="compact",D1308&lt;=0),"-",IF(ABS(D1308)&lt;=C1308,"OK","NG"))</f>
        <v>OK</v>
      </c>
      <c r="H1308" s="200">
        <f>IF(OR(L1220="compact",D1308&lt;=0),"-",C1308/ABS(D1308))</f>
        <v>405.95305072722113</v>
      </c>
      <c r="I1308" s="699">
        <f>INPUT!CI6</f>
        <v>-0.88604962936538267</v>
      </c>
      <c r="J1308" s="201" t="e">
        <f>IF(OR(L1220="compact",I1308&gt;=0),"-",IF(ABS(I1308)&lt;=B1308,"OK","NG"))</f>
        <v>#DIV/0!</v>
      </c>
      <c r="K1308" s="200" t="e">
        <f>IF(OR(L1220="compact",I1308&gt;=0),"-",B1308/ABS(I1308))</f>
        <v>#DIV/0!</v>
      </c>
      <c r="L1308" s="201" t="str">
        <f>IF(OR(L1220="compact",I1308&lt;=0),"-",IF(ABS(I1308)&lt;=C1308,"OK","NG"))</f>
        <v>-</v>
      </c>
      <c r="M1308" s="203" t="str">
        <f>IF(OR(L1220="compact",I1308&lt;=0),"-",C1308/ABS(I1308))</f>
        <v>-</v>
      </c>
      <c r="O1308" s="350"/>
    </row>
    <row r="1309">
      <c r="A1309" s="187">
        <f>A1221</f>
        <v>101</v>
      </c>
      <c r="B1309" s="191" t="e">
        <f>F1141</f>
        <v>#DIV/0!</v>
      </c>
      <c r="C1309" s="698">
        <f>G1141</f>
        <v>379.50847042889387</v>
      </c>
      <c r="D1309" s="699">
        <f>INPUT!CH7</f>
        <v>0.9348580328415943</v>
      </c>
      <c r="E1309" s="201" t="str">
        <f>IF(OR(L1221="compact",D1309&gt;=0),"-",IF(ABS(D1309)&lt;=B1309,"OK","NG"))</f>
        <v>-</v>
      </c>
      <c r="F1309" s="200" t="str">
        <f>IF(OR(L1221="compact",D1309&gt;=0),"-",B1309/ABS(D1309))</f>
        <v>-</v>
      </c>
      <c r="G1309" s="201" t="str">
        <f>IF(OR(L1221="compact",D1309&lt;=0),"-",IF(ABS(D1309)&lt;=C1309,"OK","NG"))</f>
        <v>OK</v>
      </c>
      <c r="H1309" s="200">
        <f>IF(OR(L1221="compact",D1309&lt;=0),"-",C1309/ABS(D1309))</f>
        <v>405.95305072722113</v>
      </c>
      <c r="I1309" s="699">
        <f>INPUT!CI7</f>
        <v>-0.88604962936538267</v>
      </c>
      <c r="J1309" s="201" t="e">
        <f>IF(OR(L1221="compact",I1309&gt;=0),"-",IF(ABS(I1309)&lt;=B1309,"OK","NG"))</f>
        <v>#DIV/0!</v>
      </c>
      <c r="K1309" s="200" t="e">
        <f>IF(OR(L1221="compact",I1309&gt;=0),"-",B1309/ABS(I1309))</f>
        <v>#DIV/0!</v>
      </c>
      <c r="L1309" s="201" t="str">
        <f>IF(OR(L1221="compact",I1309&lt;=0),"-",IF(ABS(I1309)&lt;=C1309,"OK","NG"))</f>
        <v>-</v>
      </c>
      <c r="M1309" s="203" t="str">
        <f>IF(OR(L1221="compact",I1309&lt;=0),"-",C1309/ABS(I1309))</f>
        <v>-</v>
      </c>
      <c r="O1309" s="350"/>
    </row>
    <row r="1310">
      <c r="A1310" s="187">
        <f>A1222</f>
        <v>101</v>
      </c>
      <c r="B1310" s="191" t="e">
        <f>F1142</f>
        <v>#DIV/0!</v>
      </c>
      <c r="C1310" s="698">
        <f>G1142</f>
        <v>379.50847042889387</v>
      </c>
      <c r="D1310" s="699">
        <f>INPUT!CH8</f>
        <v>0.9348580328415943</v>
      </c>
      <c r="E1310" s="201" t="str">
        <f>IF(OR(L1222="compact",D1310&gt;=0),"-",IF(ABS(D1310)&lt;=B1310,"OK","NG"))</f>
        <v>-</v>
      </c>
      <c r="F1310" s="200" t="str">
        <f>IF(OR(L1222="compact",D1310&gt;=0),"-",B1310/ABS(D1310))</f>
        <v>-</v>
      </c>
      <c r="G1310" s="201" t="str">
        <f>IF(OR(L1222="compact",D1310&lt;=0),"-",IF(ABS(D1310)&lt;=C1310,"OK","NG"))</f>
        <v>OK</v>
      </c>
      <c r="H1310" s="200">
        <f>IF(OR(L1222="compact",D1310&lt;=0),"-",C1310/ABS(D1310))</f>
        <v>405.95305072722113</v>
      </c>
      <c r="I1310" s="699">
        <f>INPUT!CI8</f>
        <v>-0.88604962936538267</v>
      </c>
      <c r="J1310" s="201" t="e">
        <f>IF(OR(L1222="compact",I1310&gt;=0),"-",IF(ABS(I1310)&lt;=B1310,"OK","NG"))</f>
        <v>#DIV/0!</v>
      </c>
      <c r="K1310" s="200" t="e">
        <f>IF(OR(L1222="compact",I1310&gt;=0),"-",B1310/ABS(I1310))</f>
        <v>#DIV/0!</v>
      </c>
      <c r="L1310" s="201" t="str">
        <f>IF(OR(L1222="compact",I1310&lt;=0),"-",IF(ABS(I1310)&lt;=C1310,"OK","NG"))</f>
        <v>-</v>
      </c>
      <c r="M1310" s="203" t="str">
        <f>IF(OR(L1222="compact",I1310&lt;=0),"-",C1310/ABS(I1310))</f>
        <v>-</v>
      </c>
      <c r="O1310" s="350"/>
    </row>
    <row r="1311">
      <c r="A1311" s="187">
        <f>A1223</f>
        <v>101</v>
      </c>
      <c r="B1311" s="191" t="e">
        <f>F1143</f>
        <v>#DIV/0!</v>
      </c>
      <c r="C1311" s="698">
        <f>G1143</f>
        <v>379.50847042889387</v>
      </c>
      <c r="D1311" s="699">
        <f>INPUT!CH9</f>
        <v>0.9348580328415943</v>
      </c>
      <c r="E1311" s="201" t="str">
        <f>IF(OR(L1223="compact",D1311&gt;=0),"-",IF(ABS(D1311)&lt;=B1311,"OK","NG"))</f>
        <v>-</v>
      </c>
      <c r="F1311" s="200" t="str">
        <f>IF(OR(L1223="compact",D1311&gt;=0),"-",B1311/ABS(D1311))</f>
        <v>-</v>
      </c>
      <c r="G1311" s="201" t="str">
        <f>IF(OR(L1223="compact",D1311&lt;=0),"-",IF(ABS(D1311)&lt;=C1311,"OK","NG"))</f>
        <v>OK</v>
      </c>
      <c r="H1311" s="200">
        <f>IF(OR(L1223="compact",D1311&lt;=0),"-",C1311/ABS(D1311))</f>
        <v>405.95305072722113</v>
      </c>
      <c r="I1311" s="699">
        <f>INPUT!CI9</f>
        <v>-0.88604962936538267</v>
      </c>
      <c r="J1311" s="201" t="e">
        <f>IF(OR(L1223="compact",I1311&gt;=0),"-",IF(ABS(I1311)&lt;=B1311,"OK","NG"))</f>
        <v>#DIV/0!</v>
      </c>
      <c r="K1311" s="200" t="e">
        <f>IF(OR(L1223="compact",I1311&gt;=0),"-",B1311/ABS(I1311))</f>
        <v>#DIV/0!</v>
      </c>
      <c r="L1311" s="201" t="str">
        <f>IF(OR(L1223="compact",I1311&lt;=0),"-",IF(ABS(I1311)&lt;=C1311,"OK","NG"))</f>
        <v>-</v>
      </c>
      <c r="M1311" s="203" t="str">
        <f>IF(OR(L1223="compact",I1311&lt;=0),"-",C1311/ABS(I1311))</f>
        <v>-</v>
      </c>
      <c r="O1311" s="350"/>
    </row>
    <row r="1312">
      <c r="A1312" s="187">
        <f>A1224</f>
        <v>101</v>
      </c>
      <c r="B1312" s="191" t="e">
        <f>F1144</f>
        <v>#DIV/0!</v>
      </c>
      <c r="C1312" s="698">
        <f>G1144</f>
        <v>379.50847042889387</v>
      </c>
      <c r="D1312" s="699">
        <f>INPUT!CH10</f>
        <v>0.9348580328415943</v>
      </c>
      <c r="E1312" s="201" t="str">
        <f>IF(OR(L1224="compact",D1312&gt;=0),"-",IF(ABS(D1312)&lt;=B1312,"OK","NG"))</f>
        <v>-</v>
      </c>
      <c r="F1312" s="200" t="str">
        <f>IF(OR(L1224="compact",D1312&gt;=0),"-",B1312/ABS(D1312))</f>
        <v>-</v>
      </c>
      <c r="G1312" s="201" t="str">
        <f>IF(OR(L1224="compact",D1312&lt;=0),"-",IF(ABS(D1312)&lt;=C1312,"OK","NG"))</f>
        <v>OK</v>
      </c>
      <c r="H1312" s="200">
        <f>IF(OR(L1224="compact",D1312&lt;=0),"-",C1312/ABS(D1312))</f>
        <v>405.95305072722113</v>
      </c>
      <c r="I1312" s="699">
        <f>INPUT!CI10</f>
        <v>-0.88604962936538267</v>
      </c>
      <c r="J1312" s="201" t="e">
        <f>IF(OR(L1224="compact",I1312&gt;=0),"-",IF(ABS(I1312)&lt;=B1312,"OK","NG"))</f>
        <v>#DIV/0!</v>
      </c>
      <c r="K1312" s="200" t="e">
        <f>IF(OR(L1224="compact",I1312&gt;=0),"-",B1312/ABS(I1312))</f>
        <v>#DIV/0!</v>
      </c>
      <c r="L1312" s="201" t="str">
        <f>IF(OR(L1224="compact",I1312&lt;=0),"-",IF(ABS(I1312)&lt;=C1312,"OK","NG"))</f>
        <v>-</v>
      </c>
      <c r="M1312" s="203" t="str">
        <f>IF(OR(L1224="compact",I1312&lt;=0),"-",C1312/ABS(I1312))</f>
        <v>-</v>
      </c>
      <c r="O1312" s="350"/>
    </row>
    <row r="1313">
      <c r="A1313" s="187">
        <f>A1225</f>
        <v>101</v>
      </c>
      <c r="B1313" s="191" t="e">
        <f>F1145</f>
        <v>#DIV/0!</v>
      </c>
      <c r="C1313" s="698">
        <f>G1145</f>
        <v>379.50847042889387</v>
      </c>
      <c r="D1313" s="699">
        <f>INPUT!CH11</f>
        <v>0.9348580328415943</v>
      </c>
      <c r="E1313" s="201" t="str">
        <f>IF(OR(L1225="compact",D1313&gt;=0),"-",IF(ABS(D1313)&lt;=B1313,"OK","NG"))</f>
        <v>-</v>
      </c>
      <c r="F1313" s="200" t="str">
        <f>IF(OR(L1225="compact",D1313&gt;=0),"-",B1313/ABS(D1313))</f>
        <v>-</v>
      </c>
      <c r="G1313" s="201" t="str">
        <f>IF(OR(L1225="compact",D1313&lt;=0),"-",IF(ABS(D1313)&lt;=C1313,"OK","NG"))</f>
        <v>OK</v>
      </c>
      <c r="H1313" s="200">
        <f>IF(OR(L1225="compact",D1313&lt;=0),"-",C1313/ABS(D1313))</f>
        <v>405.95305072722113</v>
      </c>
      <c r="I1313" s="699">
        <f>INPUT!CI11</f>
        <v>-0.88604962936538267</v>
      </c>
      <c r="J1313" s="201" t="e">
        <f>IF(OR(L1225="compact",I1313&gt;=0),"-",IF(ABS(I1313)&lt;=B1313,"OK","NG"))</f>
        <v>#DIV/0!</v>
      </c>
      <c r="K1313" s="200" t="e">
        <f>IF(OR(L1225="compact",I1313&gt;=0),"-",B1313/ABS(I1313))</f>
        <v>#DIV/0!</v>
      </c>
      <c r="L1313" s="201" t="str">
        <f>IF(OR(L1225="compact",I1313&lt;=0),"-",IF(ABS(I1313)&lt;=C1313,"OK","NG"))</f>
        <v>-</v>
      </c>
      <c r="M1313" s="203" t="str">
        <f>IF(OR(L1225="compact",I1313&lt;=0),"-",C1313/ABS(I1313))</f>
        <v>-</v>
      </c>
      <c r="O1313" s="350"/>
    </row>
    <row r="1314">
      <c r="A1314" s="187">
        <f>A1226</f>
        <v>101</v>
      </c>
      <c r="B1314" s="191" t="e">
        <f>F1146</f>
        <v>#DIV/0!</v>
      </c>
      <c r="C1314" s="698">
        <f>G1146</f>
        <v>379.50847042889387</v>
      </c>
      <c r="D1314" s="699">
        <f>INPUT!CH12</f>
        <v>0.9348580328415943</v>
      </c>
      <c r="E1314" s="201" t="str">
        <f>IF(OR(L1226="compact",D1314&gt;=0),"-",IF(ABS(D1314)&lt;=B1314,"OK","NG"))</f>
        <v>-</v>
      </c>
      <c r="F1314" s="200" t="str">
        <f>IF(OR(L1226="compact",D1314&gt;=0),"-",B1314/ABS(D1314))</f>
        <v>-</v>
      </c>
      <c r="G1314" s="201" t="str">
        <f>IF(OR(L1226="compact",D1314&lt;=0),"-",IF(ABS(D1314)&lt;=C1314,"OK","NG"))</f>
        <v>OK</v>
      </c>
      <c r="H1314" s="200">
        <f>IF(OR(L1226="compact",D1314&lt;=0),"-",C1314/ABS(D1314))</f>
        <v>405.95305072722113</v>
      </c>
      <c r="I1314" s="699">
        <f>INPUT!CI12</f>
        <v>-0.88604962936538267</v>
      </c>
      <c r="J1314" s="201" t="e">
        <f>IF(OR(L1226="compact",I1314&gt;=0),"-",IF(ABS(I1314)&lt;=B1314,"OK","NG"))</f>
        <v>#DIV/0!</v>
      </c>
      <c r="K1314" s="200" t="e">
        <f>IF(OR(L1226="compact",I1314&gt;=0),"-",B1314/ABS(I1314))</f>
        <v>#DIV/0!</v>
      </c>
      <c r="L1314" s="201" t="str">
        <f>IF(OR(L1226="compact",I1314&lt;=0),"-",IF(ABS(I1314)&lt;=C1314,"OK","NG"))</f>
        <v>-</v>
      </c>
      <c r="M1314" s="203" t="str">
        <f>IF(OR(L1226="compact",I1314&lt;=0),"-",C1314/ABS(I1314))</f>
        <v>-</v>
      </c>
      <c r="O1314" s="350"/>
    </row>
    <row r="1315">
      <c r="A1315" s="187">
        <f>A1227</f>
        <v>101</v>
      </c>
      <c r="B1315" s="191" t="e">
        <f>F1147</f>
        <v>#DIV/0!</v>
      </c>
      <c r="C1315" s="698">
        <f>G1147</f>
        <v>379.50847042889387</v>
      </c>
      <c r="D1315" s="699">
        <f>INPUT!CH13</f>
        <v>0.9348580328415943</v>
      </c>
      <c r="E1315" s="201" t="str">
        <f>IF(OR(L1227="compact",D1315&gt;=0),"-",IF(ABS(D1315)&lt;=B1315,"OK","NG"))</f>
        <v>-</v>
      </c>
      <c r="F1315" s="200" t="str">
        <f>IF(OR(L1227="compact",D1315&gt;=0),"-",B1315/ABS(D1315))</f>
        <v>-</v>
      </c>
      <c r="G1315" s="201" t="str">
        <f>IF(OR(L1227="compact",D1315&lt;=0),"-",IF(ABS(D1315)&lt;=C1315,"OK","NG"))</f>
        <v>OK</v>
      </c>
      <c r="H1315" s="200">
        <f>IF(OR(L1227="compact",D1315&lt;=0),"-",C1315/ABS(D1315))</f>
        <v>405.95305072722113</v>
      </c>
      <c r="I1315" s="699">
        <f>INPUT!CI13</f>
        <v>-0.88604962936538267</v>
      </c>
      <c r="J1315" s="201" t="e">
        <f>IF(OR(L1227="compact",I1315&gt;=0),"-",IF(ABS(I1315)&lt;=B1315,"OK","NG"))</f>
        <v>#DIV/0!</v>
      </c>
      <c r="K1315" s="200" t="e">
        <f>IF(OR(L1227="compact",I1315&gt;=0),"-",B1315/ABS(I1315))</f>
        <v>#DIV/0!</v>
      </c>
      <c r="L1315" s="201" t="str">
        <f>IF(OR(L1227="compact",I1315&lt;=0),"-",IF(ABS(I1315)&lt;=C1315,"OK","NG"))</f>
        <v>-</v>
      </c>
      <c r="M1315" s="203" t="str">
        <f>IF(OR(L1227="compact",I1315&lt;=0),"-",C1315/ABS(I1315))</f>
        <v>-</v>
      </c>
      <c r="O1315" s="350"/>
    </row>
    <row r="1316">
      <c r="A1316" s="187">
        <f>A1228</f>
        <v>101</v>
      </c>
      <c r="B1316" s="191" t="e">
        <f>F1148</f>
        <v>#DIV/0!</v>
      </c>
      <c r="C1316" s="698">
        <f>G1148</f>
        <v>379.50847042889387</v>
      </c>
      <c r="D1316" s="699">
        <f>INPUT!CH14</f>
        <v>0.9348580328415943</v>
      </c>
      <c r="E1316" s="201" t="str">
        <f>IF(OR(L1228="compact",D1316&gt;=0),"-",IF(ABS(D1316)&lt;=B1316,"OK","NG"))</f>
        <v>-</v>
      </c>
      <c r="F1316" s="200" t="str">
        <f>IF(OR(L1228="compact",D1316&gt;=0),"-",B1316/ABS(D1316))</f>
        <v>-</v>
      </c>
      <c r="G1316" s="201" t="str">
        <f>IF(OR(L1228="compact",D1316&lt;=0),"-",IF(ABS(D1316)&lt;=C1316,"OK","NG"))</f>
        <v>OK</v>
      </c>
      <c r="H1316" s="200">
        <f>IF(OR(L1228="compact",D1316&lt;=0),"-",C1316/ABS(D1316))</f>
        <v>405.95305072722113</v>
      </c>
      <c r="I1316" s="699">
        <f>INPUT!CI14</f>
        <v>-0.88604962936538267</v>
      </c>
      <c r="J1316" s="201" t="e">
        <f>IF(OR(L1228="compact",I1316&gt;=0),"-",IF(ABS(I1316)&lt;=B1316,"OK","NG"))</f>
        <v>#DIV/0!</v>
      </c>
      <c r="K1316" s="200" t="e">
        <f>IF(OR(L1228="compact",I1316&gt;=0),"-",B1316/ABS(I1316))</f>
        <v>#DIV/0!</v>
      </c>
      <c r="L1316" s="201" t="str">
        <f>IF(OR(L1228="compact",I1316&lt;=0),"-",IF(ABS(I1316)&lt;=C1316,"OK","NG"))</f>
        <v>-</v>
      </c>
      <c r="M1316" s="203" t="str">
        <f>IF(OR(L1228="compact",I1316&lt;=0),"-",C1316/ABS(I1316))</f>
        <v>-</v>
      </c>
      <c r="O1316" s="350"/>
    </row>
    <row r="1317">
      <c r="A1317" s="187">
        <f>A1229</f>
        <v>101</v>
      </c>
      <c r="B1317" s="191" t="e">
        <f>F1149</f>
        <v>#DIV/0!</v>
      </c>
      <c r="C1317" s="698">
        <f>G1149</f>
        <v>379.50847042889387</v>
      </c>
      <c r="D1317" s="699">
        <f>INPUT!CH15</f>
        <v>0.9348580328415943</v>
      </c>
      <c r="E1317" s="201" t="str">
        <f>IF(OR(L1229="compact",D1317&gt;=0),"-",IF(ABS(D1317)&lt;=B1317,"OK","NG"))</f>
        <v>-</v>
      </c>
      <c r="F1317" s="200" t="str">
        <f>IF(OR(L1229="compact",D1317&gt;=0),"-",B1317/ABS(D1317))</f>
        <v>-</v>
      </c>
      <c r="G1317" s="201" t="str">
        <f>IF(OR(L1229="compact",D1317&lt;=0),"-",IF(ABS(D1317)&lt;=C1317,"OK","NG"))</f>
        <v>OK</v>
      </c>
      <c r="H1317" s="200">
        <f>IF(OR(L1229="compact",D1317&lt;=0),"-",C1317/ABS(D1317))</f>
        <v>405.95305072722113</v>
      </c>
      <c r="I1317" s="699">
        <f>INPUT!CI15</f>
        <v>-0.88604962936538267</v>
      </c>
      <c r="J1317" s="201" t="e">
        <f>IF(OR(L1229="compact",I1317&gt;=0),"-",IF(ABS(I1317)&lt;=B1317,"OK","NG"))</f>
        <v>#DIV/0!</v>
      </c>
      <c r="K1317" s="200" t="e">
        <f>IF(OR(L1229="compact",I1317&gt;=0),"-",B1317/ABS(I1317))</f>
        <v>#DIV/0!</v>
      </c>
      <c r="L1317" s="201" t="str">
        <f>IF(OR(L1229="compact",I1317&lt;=0),"-",IF(ABS(I1317)&lt;=C1317,"OK","NG"))</f>
        <v>-</v>
      </c>
      <c r="M1317" s="203" t="str">
        <f>IF(OR(L1229="compact",I1317&lt;=0),"-",C1317/ABS(I1317))</f>
        <v>-</v>
      </c>
      <c r="O1317" s="350"/>
    </row>
    <row r="1318">
      <c r="A1318" s="187">
        <f>A1230</f>
        <v>101</v>
      </c>
      <c r="B1318" s="191" t="e">
        <f>F1150</f>
        <v>#DIV/0!</v>
      </c>
      <c r="C1318" s="698">
        <f>G1150</f>
        <v>379.50847042889387</v>
      </c>
      <c r="D1318" s="699">
        <f>INPUT!CH16</f>
        <v>0.9348580328415943</v>
      </c>
      <c r="E1318" s="201" t="str">
        <f>IF(OR(L1230="compact",D1318&gt;=0),"-",IF(ABS(D1318)&lt;=B1318,"OK","NG"))</f>
        <v>-</v>
      </c>
      <c r="F1318" s="200" t="str">
        <f>IF(OR(L1230="compact",D1318&gt;=0),"-",B1318/ABS(D1318))</f>
        <v>-</v>
      </c>
      <c r="G1318" s="201" t="str">
        <f>IF(OR(L1230="compact",D1318&lt;=0),"-",IF(ABS(D1318)&lt;=C1318,"OK","NG"))</f>
        <v>OK</v>
      </c>
      <c r="H1318" s="200">
        <f>IF(OR(L1230="compact",D1318&lt;=0),"-",C1318/ABS(D1318))</f>
        <v>405.95305072722113</v>
      </c>
      <c r="I1318" s="699">
        <f>INPUT!CI16</f>
        <v>-0.88604962936538267</v>
      </c>
      <c r="J1318" s="201" t="e">
        <f>IF(OR(L1230="compact",I1318&gt;=0),"-",IF(ABS(I1318)&lt;=B1318,"OK","NG"))</f>
        <v>#DIV/0!</v>
      </c>
      <c r="K1318" s="200" t="e">
        <f>IF(OR(L1230="compact",I1318&gt;=0),"-",B1318/ABS(I1318))</f>
        <v>#DIV/0!</v>
      </c>
      <c r="L1318" s="201" t="str">
        <f>IF(OR(L1230="compact",I1318&lt;=0),"-",IF(ABS(I1318)&lt;=C1318,"OK","NG"))</f>
        <v>-</v>
      </c>
      <c r="M1318" s="203" t="str">
        <f>IF(OR(L1230="compact",I1318&lt;=0),"-",C1318/ABS(I1318))</f>
        <v>-</v>
      </c>
      <c r="O1318" s="350"/>
    </row>
    <row r="1319">
      <c r="A1319" s="187">
        <f>A1231</f>
        <v>101</v>
      </c>
      <c r="B1319" s="191" t="e">
        <f>F1151</f>
        <v>#DIV/0!</v>
      </c>
      <c r="C1319" s="698">
        <f>G1151</f>
        <v>379.50847042889387</v>
      </c>
      <c r="D1319" s="699">
        <f>INPUT!CH17</f>
        <v>0.9348580328415943</v>
      </c>
      <c r="E1319" s="201" t="str">
        <f>IF(OR(L1231="compact",D1319&gt;=0),"-",IF(ABS(D1319)&lt;=B1319,"OK","NG"))</f>
        <v>-</v>
      </c>
      <c r="F1319" s="200" t="str">
        <f>IF(OR(L1231="compact",D1319&gt;=0),"-",B1319/ABS(D1319))</f>
        <v>-</v>
      </c>
      <c r="G1319" s="201" t="str">
        <f>IF(OR(L1231="compact",D1319&lt;=0),"-",IF(ABS(D1319)&lt;=C1319,"OK","NG"))</f>
        <v>OK</v>
      </c>
      <c r="H1319" s="200">
        <f>IF(OR(L1231="compact",D1319&lt;=0),"-",C1319/ABS(D1319))</f>
        <v>405.95305072722113</v>
      </c>
      <c r="I1319" s="699">
        <f>INPUT!CI17</f>
        <v>-0.88604962936538267</v>
      </c>
      <c r="J1319" s="201" t="e">
        <f>IF(OR(L1231="compact",I1319&gt;=0),"-",IF(ABS(I1319)&lt;=B1319,"OK","NG"))</f>
        <v>#DIV/0!</v>
      </c>
      <c r="K1319" s="200" t="e">
        <f>IF(OR(L1231="compact",I1319&gt;=0),"-",B1319/ABS(I1319))</f>
        <v>#DIV/0!</v>
      </c>
      <c r="L1319" s="201" t="str">
        <f>IF(OR(L1231="compact",I1319&lt;=0),"-",IF(ABS(I1319)&lt;=C1319,"OK","NG"))</f>
        <v>-</v>
      </c>
      <c r="M1319" s="203" t="str">
        <f>IF(OR(L1231="compact",I1319&lt;=0),"-",C1319/ABS(I1319))</f>
        <v>-</v>
      </c>
      <c r="O1319" s="350"/>
    </row>
    <row r="1320">
      <c r="A1320" s="187">
        <f>A1232</f>
        <v>101</v>
      </c>
      <c r="B1320" s="191" t="e">
        <f>F1152</f>
        <v>#DIV/0!</v>
      </c>
      <c r="C1320" s="698">
        <f>G1152</f>
        <v>379.50847042889387</v>
      </c>
      <c r="D1320" s="699">
        <f>INPUT!CH18</f>
        <v>0.9348580328415943</v>
      </c>
      <c r="E1320" s="201" t="str">
        <f>IF(OR(L1232="compact",D1320&gt;=0),"-",IF(ABS(D1320)&lt;=B1320,"OK","NG"))</f>
        <v>-</v>
      </c>
      <c r="F1320" s="200" t="str">
        <f>IF(OR(L1232="compact",D1320&gt;=0),"-",B1320/ABS(D1320))</f>
        <v>-</v>
      </c>
      <c r="G1320" s="201" t="str">
        <f>IF(OR(L1232="compact",D1320&lt;=0),"-",IF(ABS(D1320)&lt;=C1320,"OK","NG"))</f>
        <v>OK</v>
      </c>
      <c r="H1320" s="200">
        <f>IF(OR(L1232="compact",D1320&lt;=0),"-",C1320/ABS(D1320))</f>
        <v>405.95305072722113</v>
      </c>
      <c r="I1320" s="699">
        <f>INPUT!CI18</f>
        <v>-0.88604962936538267</v>
      </c>
      <c r="J1320" s="201" t="e">
        <f>IF(OR(L1232="compact",I1320&gt;=0),"-",IF(ABS(I1320)&lt;=B1320,"OK","NG"))</f>
        <v>#DIV/0!</v>
      </c>
      <c r="K1320" s="200" t="e">
        <f>IF(OR(L1232="compact",I1320&gt;=0),"-",B1320/ABS(I1320))</f>
        <v>#DIV/0!</v>
      </c>
      <c r="L1320" s="201" t="str">
        <f>IF(OR(L1232="compact",I1320&lt;=0),"-",IF(ABS(I1320)&lt;=C1320,"OK","NG"))</f>
        <v>-</v>
      </c>
      <c r="M1320" s="203" t="str">
        <f>IF(OR(L1232="compact",I1320&lt;=0),"-",C1320/ABS(I1320))</f>
        <v>-</v>
      </c>
      <c r="O1320" s="350"/>
    </row>
    <row r="1321">
      <c r="A1321" s="187">
        <f>A1233</f>
        <v>101</v>
      </c>
      <c r="B1321" s="191" t="e">
        <f>F1153</f>
        <v>#DIV/0!</v>
      </c>
      <c r="C1321" s="698">
        <f>G1153</f>
        <v>379.50847042889387</v>
      </c>
      <c r="D1321" s="699">
        <f>INPUT!CH19</f>
        <v>0.9348580328415943</v>
      </c>
      <c r="E1321" s="201" t="str">
        <f>IF(OR(L1233="compact",D1321&gt;=0),"-",IF(ABS(D1321)&lt;=B1321,"OK","NG"))</f>
        <v>-</v>
      </c>
      <c r="F1321" s="200" t="str">
        <f>IF(OR(L1233="compact",D1321&gt;=0),"-",B1321/ABS(D1321))</f>
        <v>-</v>
      </c>
      <c r="G1321" s="201" t="str">
        <f>IF(OR(L1233="compact",D1321&lt;=0),"-",IF(ABS(D1321)&lt;=C1321,"OK","NG"))</f>
        <v>OK</v>
      </c>
      <c r="H1321" s="200">
        <f>IF(OR(L1233="compact",D1321&lt;=0),"-",C1321/ABS(D1321))</f>
        <v>405.95305072722113</v>
      </c>
      <c r="I1321" s="699">
        <f>INPUT!CI19</f>
        <v>-0.88604962936538267</v>
      </c>
      <c r="J1321" s="201" t="e">
        <f>IF(OR(L1233="compact",I1321&gt;=0),"-",IF(ABS(I1321)&lt;=B1321,"OK","NG"))</f>
        <v>#DIV/0!</v>
      </c>
      <c r="K1321" s="200" t="e">
        <f>IF(OR(L1233="compact",I1321&gt;=0),"-",B1321/ABS(I1321))</f>
        <v>#DIV/0!</v>
      </c>
      <c r="L1321" s="201" t="str">
        <f>IF(OR(L1233="compact",I1321&lt;=0),"-",IF(ABS(I1321)&lt;=C1321,"OK","NG"))</f>
        <v>-</v>
      </c>
      <c r="M1321" s="203" t="str">
        <f>IF(OR(L1233="compact",I1321&lt;=0),"-",C1321/ABS(I1321))</f>
        <v>-</v>
      </c>
      <c r="O1321" s="350"/>
    </row>
    <row r="1322">
      <c r="A1322" s="187">
        <f>A1234</f>
        <v>101</v>
      </c>
      <c r="B1322" s="191" t="e">
        <f>F1154</f>
        <v>#DIV/0!</v>
      </c>
      <c r="C1322" s="698">
        <f>G1154</f>
        <v>379.50847042889387</v>
      </c>
      <c r="D1322" s="699">
        <f>INPUT!CH20</f>
        <v>0.9348580328415943</v>
      </c>
      <c r="E1322" s="201" t="str">
        <f>IF(OR(L1234="compact",D1322&gt;=0),"-",IF(ABS(D1322)&lt;=B1322,"OK","NG"))</f>
        <v>-</v>
      </c>
      <c r="F1322" s="200" t="str">
        <f>IF(OR(L1234="compact",D1322&gt;=0),"-",B1322/ABS(D1322))</f>
        <v>-</v>
      </c>
      <c r="G1322" s="201" t="str">
        <f>IF(OR(L1234="compact",D1322&lt;=0),"-",IF(ABS(D1322)&lt;=C1322,"OK","NG"))</f>
        <v>OK</v>
      </c>
      <c r="H1322" s="200">
        <f>IF(OR(L1234="compact",D1322&lt;=0),"-",C1322/ABS(D1322))</f>
        <v>405.95305072722113</v>
      </c>
      <c r="I1322" s="699">
        <f>INPUT!CI20</f>
        <v>-0.88604962936538267</v>
      </c>
      <c r="J1322" s="201" t="e">
        <f>IF(OR(L1234="compact",I1322&gt;=0),"-",IF(ABS(I1322)&lt;=B1322,"OK","NG"))</f>
        <v>#DIV/0!</v>
      </c>
      <c r="K1322" s="200" t="e">
        <f>IF(OR(L1234="compact",I1322&gt;=0),"-",B1322/ABS(I1322))</f>
        <v>#DIV/0!</v>
      </c>
      <c r="L1322" s="201" t="str">
        <f>IF(OR(L1234="compact",I1322&lt;=0),"-",IF(ABS(I1322)&lt;=C1322,"OK","NG"))</f>
        <v>-</v>
      </c>
      <c r="M1322" s="203" t="str">
        <f>IF(OR(L1234="compact",I1322&lt;=0),"-",C1322/ABS(I1322))</f>
        <v>-</v>
      </c>
      <c r="O1322" s="350"/>
    </row>
    <row r="1323">
      <c r="A1323" s="187">
        <f>A1235</f>
        <v>101</v>
      </c>
      <c r="B1323" s="191" t="e">
        <f>F1155</f>
        <v>#DIV/0!</v>
      </c>
      <c r="C1323" s="698">
        <f>G1155</f>
        <v>379.50847042889387</v>
      </c>
      <c r="D1323" s="699">
        <f>INPUT!CH21</f>
        <v>0.9348580328415943</v>
      </c>
      <c r="E1323" s="201" t="str">
        <f>IF(OR(L1235="compact",D1323&gt;=0),"-",IF(ABS(D1323)&lt;=B1323,"OK","NG"))</f>
        <v>-</v>
      </c>
      <c r="F1323" s="200" t="str">
        <f>IF(OR(L1235="compact",D1323&gt;=0),"-",B1323/ABS(D1323))</f>
        <v>-</v>
      </c>
      <c r="G1323" s="201" t="str">
        <f>IF(OR(L1235="compact",D1323&lt;=0),"-",IF(ABS(D1323)&lt;=C1323,"OK","NG"))</f>
        <v>OK</v>
      </c>
      <c r="H1323" s="200">
        <f>IF(OR(L1235="compact",D1323&lt;=0),"-",C1323/ABS(D1323))</f>
        <v>405.95305072722113</v>
      </c>
      <c r="I1323" s="699">
        <f>INPUT!CI21</f>
        <v>-0.88604962936538267</v>
      </c>
      <c r="J1323" s="201" t="e">
        <f>IF(OR(L1235="compact",I1323&gt;=0),"-",IF(ABS(I1323)&lt;=B1323,"OK","NG"))</f>
        <v>#DIV/0!</v>
      </c>
      <c r="K1323" s="200" t="e">
        <f>IF(OR(L1235="compact",I1323&gt;=0),"-",B1323/ABS(I1323))</f>
        <v>#DIV/0!</v>
      </c>
      <c r="L1323" s="201" t="str">
        <f>IF(OR(L1235="compact",I1323&lt;=0),"-",IF(ABS(I1323)&lt;=C1323,"OK","NG"))</f>
        <v>-</v>
      </c>
      <c r="M1323" s="203" t="str">
        <f>IF(OR(L1235="compact",I1323&lt;=0),"-",C1323/ABS(I1323))</f>
        <v>-</v>
      </c>
      <c r="O1323" s="350"/>
    </row>
    <row r="1324">
      <c r="A1324" s="187">
        <f>A1236</f>
        <v>101</v>
      </c>
      <c r="B1324" s="191" t="e">
        <f>F1156</f>
        <v>#DIV/0!</v>
      </c>
      <c r="C1324" s="698">
        <f>G1156</f>
        <v>379.50847042889387</v>
      </c>
      <c r="D1324" s="699">
        <f>INPUT!CH22</f>
        <v>0.9348580328415943</v>
      </c>
      <c r="E1324" s="201" t="str">
        <f>IF(OR(L1236="compact",D1324&gt;=0),"-",IF(ABS(D1324)&lt;=B1324,"OK","NG"))</f>
        <v>-</v>
      </c>
      <c r="F1324" s="200" t="str">
        <f>IF(OR(L1236="compact",D1324&gt;=0),"-",B1324/ABS(D1324))</f>
        <v>-</v>
      </c>
      <c r="G1324" s="201" t="str">
        <f>IF(OR(L1236="compact",D1324&lt;=0),"-",IF(ABS(D1324)&lt;=C1324,"OK","NG"))</f>
        <v>OK</v>
      </c>
      <c r="H1324" s="200">
        <f>IF(OR(L1236="compact",D1324&lt;=0),"-",C1324/ABS(D1324))</f>
        <v>405.95305072722113</v>
      </c>
      <c r="I1324" s="699">
        <f>INPUT!CI22</f>
        <v>-0.88604962936538267</v>
      </c>
      <c r="J1324" s="201" t="e">
        <f>IF(OR(L1236="compact",I1324&gt;=0),"-",IF(ABS(I1324)&lt;=B1324,"OK","NG"))</f>
        <v>#DIV/0!</v>
      </c>
      <c r="K1324" s="200" t="e">
        <f>IF(OR(L1236="compact",I1324&gt;=0),"-",B1324/ABS(I1324))</f>
        <v>#DIV/0!</v>
      </c>
      <c r="L1324" s="201" t="str">
        <f>IF(OR(L1236="compact",I1324&lt;=0),"-",IF(ABS(I1324)&lt;=C1324,"OK","NG"))</f>
        <v>-</v>
      </c>
      <c r="M1324" s="203" t="str">
        <f>IF(OR(L1236="compact",I1324&lt;=0),"-",C1324/ABS(I1324))</f>
        <v>-</v>
      </c>
      <c r="O1324" s="350"/>
    </row>
    <row r="1325">
      <c r="A1325" s="187">
        <f>A1237</f>
        <v>101</v>
      </c>
      <c r="B1325" s="191" t="e">
        <f>F1157</f>
        <v>#DIV/0!</v>
      </c>
      <c r="C1325" s="698">
        <f>G1157</f>
        <v>379.50847042889387</v>
      </c>
      <c r="D1325" s="699">
        <f>INPUT!CH23</f>
        <v>0.9348580328415943</v>
      </c>
      <c r="E1325" s="201" t="str">
        <f>IF(OR(L1237="compact",D1325&gt;=0),"-",IF(ABS(D1325)&lt;=B1325,"OK","NG"))</f>
        <v>-</v>
      </c>
      <c r="F1325" s="200" t="str">
        <f>IF(OR(L1237="compact",D1325&gt;=0),"-",B1325/ABS(D1325))</f>
        <v>-</v>
      </c>
      <c r="G1325" s="201" t="str">
        <f>IF(OR(L1237="compact",D1325&lt;=0),"-",IF(ABS(D1325)&lt;=C1325,"OK","NG"))</f>
        <v>OK</v>
      </c>
      <c r="H1325" s="200">
        <f>IF(OR(L1237="compact",D1325&lt;=0),"-",C1325/ABS(D1325))</f>
        <v>405.95305072722113</v>
      </c>
      <c r="I1325" s="699">
        <f>INPUT!CI23</f>
        <v>-0.88604962936538267</v>
      </c>
      <c r="J1325" s="201" t="e">
        <f>IF(OR(L1237="compact",I1325&gt;=0),"-",IF(ABS(I1325)&lt;=B1325,"OK","NG"))</f>
        <v>#DIV/0!</v>
      </c>
      <c r="K1325" s="200" t="e">
        <f>IF(OR(L1237="compact",I1325&gt;=0),"-",B1325/ABS(I1325))</f>
        <v>#DIV/0!</v>
      </c>
      <c r="L1325" s="201" t="str">
        <f>IF(OR(L1237="compact",I1325&lt;=0),"-",IF(ABS(I1325)&lt;=C1325,"OK","NG"))</f>
        <v>-</v>
      </c>
      <c r="M1325" s="203" t="str">
        <f>IF(OR(L1237="compact",I1325&lt;=0),"-",C1325/ABS(I1325))</f>
        <v>-</v>
      </c>
      <c r="O1325" s="350"/>
    </row>
    <row r="1326">
      <c r="A1326" s="187">
        <f>A1238</f>
        <v>101</v>
      </c>
      <c r="B1326" s="191" t="e">
        <f>F1158</f>
        <v>#DIV/0!</v>
      </c>
      <c r="C1326" s="698">
        <f>G1158</f>
        <v>379.50847042889387</v>
      </c>
      <c r="D1326" s="699">
        <f>INPUT!CH24</f>
        <v>0.9348580328415943</v>
      </c>
      <c r="E1326" s="201" t="str">
        <f>IF(OR(L1238="compact",D1326&gt;=0),"-",IF(ABS(D1326)&lt;=B1326,"OK","NG"))</f>
        <v>-</v>
      </c>
      <c r="F1326" s="200" t="str">
        <f>IF(OR(L1238="compact",D1326&gt;=0),"-",B1326/ABS(D1326))</f>
        <v>-</v>
      </c>
      <c r="G1326" s="201" t="str">
        <f>IF(OR(L1238="compact",D1326&lt;=0),"-",IF(ABS(D1326)&lt;=C1326,"OK","NG"))</f>
        <v>OK</v>
      </c>
      <c r="H1326" s="200">
        <f>IF(OR(L1238="compact",D1326&lt;=0),"-",C1326/ABS(D1326))</f>
        <v>405.95305072722113</v>
      </c>
      <c r="I1326" s="699">
        <f>INPUT!CI24</f>
        <v>-0.88604962936538267</v>
      </c>
      <c r="J1326" s="201" t="e">
        <f>IF(OR(L1238="compact",I1326&gt;=0),"-",IF(ABS(I1326)&lt;=B1326,"OK","NG"))</f>
        <v>#DIV/0!</v>
      </c>
      <c r="K1326" s="200" t="e">
        <f>IF(OR(L1238="compact",I1326&gt;=0),"-",B1326/ABS(I1326))</f>
        <v>#DIV/0!</v>
      </c>
      <c r="L1326" s="201" t="str">
        <f>IF(OR(L1238="compact",I1326&lt;=0),"-",IF(ABS(I1326)&lt;=C1326,"OK","NG"))</f>
        <v>-</v>
      </c>
      <c r="M1326" s="203" t="str">
        <f>IF(OR(L1238="compact",I1326&lt;=0),"-",C1326/ABS(I1326))</f>
        <v>-</v>
      </c>
      <c r="O1326" s="350"/>
    </row>
    <row r="1327">
      <c r="A1327" s="187">
        <f>A1239</f>
        <v>101</v>
      </c>
      <c r="B1327" s="191" t="e">
        <f>F1159</f>
        <v>#DIV/0!</v>
      </c>
      <c r="C1327" s="698">
        <f>G1159</f>
        <v>379.50847042889387</v>
      </c>
      <c r="D1327" s="699">
        <f>INPUT!CH25</f>
        <v>0.9348580328415943</v>
      </c>
      <c r="E1327" s="201" t="str">
        <f>IF(OR(L1239="compact",D1327&gt;=0),"-",IF(ABS(D1327)&lt;=B1327,"OK","NG"))</f>
        <v>-</v>
      </c>
      <c r="F1327" s="200" t="str">
        <f>IF(OR(L1239="compact",D1327&gt;=0),"-",B1327/ABS(D1327))</f>
        <v>-</v>
      </c>
      <c r="G1327" s="201" t="str">
        <f>IF(OR(L1239="compact",D1327&lt;=0),"-",IF(ABS(D1327)&lt;=C1327,"OK","NG"))</f>
        <v>OK</v>
      </c>
      <c r="H1327" s="200">
        <f>IF(OR(L1239="compact",D1327&lt;=0),"-",C1327/ABS(D1327))</f>
        <v>405.95305072722113</v>
      </c>
      <c r="I1327" s="699">
        <f>INPUT!CI25</f>
        <v>-0.88604962936538267</v>
      </c>
      <c r="J1327" s="201" t="e">
        <f>IF(OR(L1239="compact",I1327&gt;=0),"-",IF(ABS(I1327)&lt;=B1327,"OK","NG"))</f>
        <v>#DIV/0!</v>
      </c>
      <c r="K1327" s="200" t="e">
        <f>IF(OR(L1239="compact",I1327&gt;=0),"-",B1327/ABS(I1327))</f>
        <v>#DIV/0!</v>
      </c>
      <c r="L1327" s="201" t="str">
        <f>IF(OR(L1239="compact",I1327&lt;=0),"-",IF(ABS(I1327)&lt;=C1327,"OK","NG"))</f>
        <v>-</v>
      </c>
      <c r="M1327" s="203" t="str">
        <f>IF(OR(L1239="compact",I1327&lt;=0),"-",C1327/ABS(I1327))</f>
        <v>-</v>
      </c>
      <c r="O1327" s="350"/>
    </row>
    <row r="1328">
      <c r="A1328" s="187">
        <f>A1240</f>
        <v>101</v>
      </c>
      <c r="B1328" s="191" t="e">
        <f>F1160</f>
        <v>#DIV/0!</v>
      </c>
      <c r="C1328" s="698">
        <f>G1160</f>
        <v>379.50847042889387</v>
      </c>
      <c r="D1328" s="699">
        <f>INPUT!CH26</f>
        <v>0.9348580328415943</v>
      </c>
      <c r="E1328" s="201" t="str">
        <f>IF(OR(L1240="compact",D1328&gt;=0),"-",IF(ABS(D1328)&lt;=B1328,"OK","NG"))</f>
        <v>-</v>
      </c>
      <c r="F1328" s="200" t="str">
        <f>IF(OR(L1240="compact",D1328&gt;=0),"-",B1328/ABS(D1328))</f>
        <v>-</v>
      </c>
      <c r="G1328" s="201" t="str">
        <f>IF(OR(L1240="compact",D1328&lt;=0),"-",IF(ABS(D1328)&lt;=C1328,"OK","NG"))</f>
        <v>OK</v>
      </c>
      <c r="H1328" s="200">
        <f>IF(OR(L1240="compact",D1328&lt;=0),"-",C1328/ABS(D1328))</f>
        <v>405.95305072722113</v>
      </c>
      <c r="I1328" s="699">
        <f>INPUT!CI26</f>
        <v>-0.88604962936538267</v>
      </c>
      <c r="J1328" s="201" t="e">
        <f>IF(OR(L1240="compact",I1328&gt;=0),"-",IF(ABS(I1328)&lt;=B1328,"OK","NG"))</f>
        <v>#DIV/0!</v>
      </c>
      <c r="K1328" s="200" t="e">
        <f>IF(OR(L1240="compact",I1328&gt;=0),"-",B1328/ABS(I1328))</f>
        <v>#DIV/0!</v>
      </c>
      <c r="L1328" s="201" t="str">
        <f>IF(OR(L1240="compact",I1328&lt;=0),"-",IF(ABS(I1328)&lt;=C1328,"OK","NG"))</f>
        <v>-</v>
      </c>
      <c r="M1328" s="203" t="str">
        <f>IF(OR(L1240="compact",I1328&lt;=0),"-",C1328/ABS(I1328))</f>
        <v>-</v>
      </c>
      <c r="O1328" s="350"/>
    </row>
    <row r="1329">
      <c r="A1329" s="187">
        <f>A1241</f>
        <v>101</v>
      </c>
      <c r="B1329" s="191" t="e">
        <f>F1161</f>
        <v>#DIV/0!</v>
      </c>
      <c r="C1329" s="698">
        <f>G1161</f>
        <v>379.50847042889387</v>
      </c>
      <c r="D1329" s="699">
        <f>INPUT!CH27</f>
        <v>0.9348580328415943</v>
      </c>
      <c r="E1329" s="201" t="str">
        <f>IF(OR(L1241="compact",D1329&gt;=0),"-",IF(ABS(D1329)&lt;=B1329,"OK","NG"))</f>
        <v>-</v>
      </c>
      <c r="F1329" s="200" t="str">
        <f>IF(OR(L1241="compact",D1329&gt;=0),"-",B1329/ABS(D1329))</f>
        <v>-</v>
      </c>
      <c r="G1329" s="201" t="str">
        <f>IF(OR(L1241="compact",D1329&lt;=0),"-",IF(ABS(D1329)&lt;=C1329,"OK","NG"))</f>
        <v>OK</v>
      </c>
      <c r="H1329" s="200">
        <f>IF(OR(L1241="compact",D1329&lt;=0),"-",C1329/ABS(D1329))</f>
        <v>405.95305072722113</v>
      </c>
      <c r="I1329" s="699">
        <f>INPUT!CI27</f>
        <v>-0.88604962936538267</v>
      </c>
      <c r="J1329" s="201" t="e">
        <f>IF(OR(L1241="compact",I1329&gt;=0),"-",IF(ABS(I1329)&lt;=B1329,"OK","NG"))</f>
        <v>#DIV/0!</v>
      </c>
      <c r="K1329" s="200" t="e">
        <f>IF(OR(L1241="compact",I1329&gt;=0),"-",B1329/ABS(I1329))</f>
        <v>#DIV/0!</v>
      </c>
      <c r="L1329" s="201" t="str">
        <f>IF(OR(L1241="compact",I1329&lt;=0),"-",IF(ABS(I1329)&lt;=C1329,"OK","NG"))</f>
        <v>-</v>
      </c>
      <c r="M1329" s="203" t="str">
        <f>IF(OR(L1241="compact",I1329&lt;=0),"-",C1329/ABS(I1329))</f>
        <v>-</v>
      </c>
      <c r="O1329" s="350"/>
    </row>
    <row r="1330">
      <c r="A1330" s="187">
        <f>A1242</f>
        <v>101</v>
      </c>
      <c r="B1330" s="191" t="e">
        <f>F1162</f>
        <v>#DIV/0!</v>
      </c>
      <c r="C1330" s="698">
        <f>G1162</f>
        <v>379.50847042889387</v>
      </c>
      <c r="D1330" s="699">
        <f>INPUT!CH28</f>
        <v>0.9348580328415943</v>
      </c>
      <c r="E1330" s="201" t="str">
        <f>IF(OR(L1242="compact",D1330&gt;=0),"-",IF(ABS(D1330)&lt;=B1330,"OK","NG"))</f>
        <v>-</v>
      </c>
      <c r="F1330" s="200" t="str">
        <f>IF(OR(L1242="compact",D1330&gt;=0),"-",B1330/ABS(D1330))</f>
        <v>-</v>
      </c>
      <c r="G1330" s="201" t="str">
        <f>IF(OR(L1242="compact",D1330&lt;=0),"-",IF(ABS(D1330)&lt;=C1330,"OK","NG"))</f>
        <v>OK</v>
      </c>
      <c r="H1330" s="200">
        <f>IF(OR(L1242="compact",D1330&lt;=0),"-",C1330/ABS(D1330))</f>
        <v>405.95305072722113</v>
      </c>
      <c r="I1330" s="699">
        <f>INPUT!CI28</f>
        <v>-0.88604962936538267</v>
      </c>
      <c r="J1330" s="201" t="e">
        <f>IF(OR(L1242="compact",I1330&gt;=0),"-",IF(ABS(I1330)&lt;=B1330,"OK","NG"))</f>
        <v>#DIV/0!</v>
      </c>
      <c r="K1330" s="200" t="e">
        <f>IF(OR(L1242="compact",I1330&gt;=0),"-",B1330/ABS(I1330))</f>
        <v>#DIV/0!</v>
      </c>
      <c r="L1330" s="201" t="str">
        <f>IF(OR(L1242="compact",I1330&lt;=0),"-",IF(ABS(I1330)&lt;=C1330,"OK","NG"))</f>
        <v>-</v>
      </c>
      <c r="M1330" s="203" t="str">
        <f>IF(OR(L1242="compact",I1330&lt;=0),"-",C1330/ABS(I1330))</f>
        <v>-</v>
      </c>
      <c r="O1330" s="350"/>
    </row>
    <row r="1331">
      <c r="A1331" s="187">
        <f>A1243</f>
        <v>101</v>
      </c>
      <c r="B1331" s="191" t="e">
        <f>F1163</f>
        <v>#DIV/0!</v>
      </c>
      <c r="C1331" s="698">
        <f>G1163</f>
        <v>379.50847042889387</v>
      </c>
      <c r="D1331" s="699">
        <f>INPUT!CH29</f>
        <v>0.9348580328415943</v>
      </c>
      <c r="E1331" s="201" t="str">
        <f>IF(OR(L1243="compact",D1331&gt;=0),"-",IF(ABS(D1331)&lt;=B1331,"OK","NG"))</f>
        <v>-</v>
      </c>
      <c r="F1331" s="200" t="str">
        <f>IF(OR(L1243="compact",D1331&gt;=0),"-",B1331/ABS(D1331))</f>
        <v>-</v>
      </c>
      <c r="G1331" s="201" t="str">
        <f>IF(OR(L1243="compact",D1331&lt;=0),"-",IF(ABS(D1331)&lt;=C1331,"OK","NG"))</f>
        <v>OK</v>
      </c>
      <c r="H1331" s="200">
        <f>IF(OR(L1243="compact",D1331&lt;=0),"-",C1331/ABS(D1331))</f>
        <v>405.95305072722113</v>
      </c>
      <c r="I1331" s="699">
        <f>INPUT!CI29</f>
        <v>-0.88604962936538267</v>
      </c>
      <c r="J1331" s="201" t="e">
        <f>IF(OR(L1243="compact",I1331&gt;=0),"-",IF(ABS(I1331)&lt;=B1331,"OK","NG"))</f>
        <v>#DIV/0!</v>
      </c>
      <c r="K1331" s="200" t="e">
        <f>IF(OR(L1243="compact",I1331&gt;=0),"-",B1331/ABS(I1331))</f>
        <v>#DIV/0!</v>
      </c>
      <c r="L1331" s="201" t="str">
        <f>IF(OR(L1243="compact",I1331&lt;=0),"-",IF(ABS(I1331)&lt;=C1331,"OK","NG"))</f>
        <v>-</v>
      </c>
      <c r="M1331" s="203" t="str">
        <f>IF(OR(L1243="compact",I1331&lt;=0),"-",C1331/ABS(I1331))</f>
        <v>-</v>
      </c>
      <c r="O1331" s="350"/>
    </row>
    <row r="1332">
      <c r="A1332" s="187">
        <f>A1244</f>
        <v>101</v>
      </c>
      <c r="B1332" s="191" t="e">
        <f>F1164</f>
        <v>#DIV/0!</v>
      </c>
      <c r="C1332" s="698">
        <f>G1164</f>
        <v>379.50847042889387</v>
      </c>
      <c r="D1332" s="699">
        <f>INPUT!CH30</f>
        <v>0.9348580328415943</v>
      </c>
      <c r="E1332" s="201" t="str">
        <f>IF(OR(L1244="compact",D1332&gt;=0),"-",IF(ABS(D1332)&lt;=B1332,"OK","NG"))</f>
        <v>-</v>
      </c>
      <c r="F1332" s="200" t="str">
        <f>IF(OR(L1244="compact",D1332&gt;=0),"-",B1332/ABS(D1332))</f>
        <v>-</v>
      </c>
      <c r="G1332" s="201" t="str">
        <f>IF(OR(L1244="compact",D1332&lt;=0),"-",IF(ABS(D1332)&lt;=C1332,"OK","NG"))</f>
        <v>OK</v>
      </c>
      <c r="H1332" s="200">
        <f>IF(OR(L1244="compact",D1332&lt;=0),"-",C1332/ABS(D1332))</f>
        <v>405.95305072722113</v>
      </c>
      <c r="I1332" s="699">
        <f>INPUT!CI30</f>
        <v>-0.88604962936538267</v>
      </c>
      <c r="J1332" s="201" t="e">
        <f>IF(OR(L1244="compact",I1332&gt;=0),"-",IF(ABS(I1332)&lt;=B1332,"OK","NG"))</f>
        <v>#DIV/0!</v>
      </c>
      <c r="K1332" s="200" t="e">
        <f>IF(OR(L1244="compact",I1332&gt;=0),"-",B1332/ABS(I1332))</f>
        <v>#DIV/0!</v>
      </c>
      <c r="L1332" s="201" t="str">
        <f>IF(OR(L1244="compact",I1332&lt;=0),"-",IF(ABS(I1332)&lt;=C1332,"OK","NG"))</f>
        <v>-</v>
      </c>
      <c r="M1332" s="203" t="str">
        <f>IF(OR(L1244="compact",I1332&lt;=0),"-",C1332/ABS(I1332))</f>
        <v>-</v>
      </c>
      <c r="O1332" s="350"/>
    </row>
    <row r="1333">
      <c r="A1333" s="187">
        <f>A1245</f>
        <v>101</v>
      </c>
      <c r="B1333" s="191" t="e">
        <f>F1165</f>
        <v>#DIV/0!</v>
      </c>
      <c r="C1333" s="698">
        <f>G1165</f>
        <v>379.50847042889387</v>
      </c>
      <c r="D1333" s="699">
        <f>INPUT!CH31</f>
        <v>0.9348580328415943</v>
      </c>
      <c r="E1333" s="201" t="str">
        <f>IF(OR(L1245="compact",D1333&gt;=0),"-",IF(ABS(D1333)&lt;=B1333,"OK","NG"))</f>
        <v>-</v>
      </c>
      <c r="F1333" s="200" t="str">
        <f>IF(OR(L1245="compact",D1333&gt;=0),"-",B1333/ABS(D1333))</f>
        <v>-</v>
      </c>
      <c r="G1333" s="201" t="str">
        <f>IF(OR(L1245="compact",D1333&lt;=0),"-",IF(ABS(D1333)&lt;=C1333,"OK","NG"))</f>
        <v>OK</v>
      </c>
      <c r="H1333" s="200">
        <f>IF(OR(L1245="compact",D1333&lt;=0),"-",C1333/ABS(D1333))</f>
        <v>405.95305072722113</v>
      </c>
      <c r="I1333" s="699">
        <f>INPUT!CI31</f>
        <v>-0.88604962936538267</v>
      </c>
      <c r="J1333" s="201" t="e">
        <f>IF(OR(L1245="compact",I1333&gt;=0),"-",IF(ABS(I1333)&lt;=B1333,"OK","NG"))</f>
        <v>#DIV/0!</v>
      </c>
      <c r="K1333" s="200" t="e">
        <f>IF(OR(L1245="compact",I1333&gt;=0),"-",B1333/ABS(I1333))</f>
        <v>#DIV/0!</v>
      </c>
      <c r="L1333" s="201" t="str">
        <f>IF(OR(L1245="compact",I1333&lt;=0),"-",IF(ABS(I1333)&lt;=C1333,"OK","NG"))</f>
        <v>-</v>
      </c>
      <c r="M1333" s="203" t="str">
        <f>IF(OR(L1245="compact",I1333&lt;=0),"-",C1333/ABS(I1333))</f>
        <v>-</v>
      </c>
      <c r="O1333" s="350"/>
    </row>
    <row r="1334">
      <c r="A1334" s="187">
        <f>A1246</f>
        <v>101</v>
      </c>
      <c r="B1334" s="191" t="e">
        <f>F1166</f>
        <v>#DIV/0!</v>
      </c>
      <c r="C1334" s="698">
        <f>G1166</f>
        <v>379.50847042889387</v>
      </c>
      <c r="D1334" s="699">
        <f>INPUT!CH32</f>
        <v>0.9348580328415943</v>
      </c>
      <c r="E1334" s="201" t="str">
        <f>IF(OR(L1246="compact",D1334&gt;=0),"-",IF(ABS(D1334)&lt;=B1334,"OK","NG"))</f>
        <v>-</v>
      </c>
      <c r="F1334" s="200" t="str">
        <f>IF(OR(L1246="compact",D1334&gt;=0),"-",B1334/ABS(D1334))</f>
        <v>-</v>
      </c>
      <c r="G1334" s="201" t="str">
        <f>IF(OR(L1246="compact",D1334&lt;=0),"-",IF(ABS(D1334)&lt;=C1334,"OK","NG"))</f>
        <v>OK</v>
      </c>
      <c r="H1334" s="200">
        <f>IF(OR(L1246="compact",D1334&lt;=0),"-",C1334/ABS(D1334))</f>
        <v>405.95305072722113</v>
      </c>
      <c r="I1334" s="699">
        <f>INPUT!CI32</f>
        <v>-0.88604962936538267</v>
      </c>
      <c r="J1334" s="201" t="e">
        <f>IF(OR(L1246="compact",I1334&gt;=0),"-",IF(ABS(I1334)&lt;=B1334,"OK","NG"))</f>
        <v>#DIV/0!</v>
      </c>
      <c r="K1334" s="200" t="e">
        <f>IF(OR(L1246="compact",I1334&gt;=0),"-",B1334/ABS(I1334))</f>
        <v>#DIV/0!</v>
      </c>
      <c r="L1334" s="201" t="str">
        <f>IF(OR(L1246="compact",I1334&lt;=0),"-",IF(ABS(I1334)&lt;=C1334,"OK","NG"))</f>
        <v>-</v>
      </c>
      <c r="M1334" s="203" t="str">
        <f>IF(OR(L1246="compact",I1334&lt;=0),"-",C1334/ABS(I1334))</f>
        <v>-</v>
      </c>
      <c r="O1334" s="350"/>
    </row>
    <row r="1335">
      <c r="A1335" s="187">
        <f>A1247</f>
        <v>101</v>
      </c>
      <c r="B1335" s="191" t="e">
        <f>F1167</f>
        <v>#DIV/0!</v>
      </c>
      <c r="C1335" s="698">
        <f>G1167</f>
        <v>379.50847042889387</v>
      </c>
      <c r="D1335" s="699">
        <f>INPUT!CH33</f>
        <v>0.9348580328415943</v>
      </c>
      <c r="E1335" s="201" t="str">
        <f>IF(OR(L1247="compact",D1335&gt;=0),"-",IF(ABS(D1335)&lt;=B1335,"OK","NG"))</f>
        <v>-</v>
      </c>
      <c r="F1335" s="200" t="str">
        <f>IF(OR(L1247="compact",D1335&gt;=0),"-",B1335/ABS(D1335))</f>
        <v>-</v>
      </c>
      <c r="G1335" s="201" t="str">
        <f>IF(OR(L1247="compact",D1335&lt;=0),"-",IF(ABS(D1335)&lt;=C1335,"OK","NG"))</f>
        <v>OK</v>
      </c>
      <c r="H1335" s="200">
        <f>IF(OR(L1247="compact",D1335&lt;=0),"-",C1335/ABS(D1335))</f>
        <v>405.95305072722113</v>
      </c>
      <c r="I1335" s="699">
        <f>INPUT!CI33</f>
        <v>-0.88604962936538267</v>
      </c>
      <c r="J1335" s="201" t="e">
        <f>IF(OR(L1247="compact",I1335&gt;=0),"-",IF(ABS(I1335)&lt;=B1335,"OK","NG"))</f>
        <v>#DIV/0!</v>
      </c>
      <c r="K1335" s="200" t="e">
        <f>IF(OR(L1247="compact",I1335&gt;=0),"-",B1335/ABS(I1335))</f>
        <v>#DIV/0!</v>
      </c>
      <c r="L1335" s="201" t="str">
        <f>IF(OR(L1247="compact",I1335&lt;=0),"-",IF(ABS(I1335)&lt;=C1335,"OK","NG"))</f>
        <v>-</v>
      </c>
      <c r="M1335" s="203" t="str">
        <f>IF(OR(L1247="compact",I1335&lt;=0),"-",C1335/ABS(I1335))</f>
        <v>-</v>
      </c>
      <c r="O1335" s="350"/>
    </row>
    <row r="1336">
      <c r="A1336" s="187">
        <f>A1248</f>
        <v>101</v>
      </c>
      <c r="B1336" s="191" t="e">
        <f>F1168</f>
        <v>#DIV/0!</v>
      </c>
      <c r="C1336" s="698">
        <f>G1168</f>
        <v>379.50847042889387</v>
      </c>
      <c r="D1336" s="699">
        <f>INPUT!CH34</f>
        <v>0.9348580328415943</v>
      </c>
      <c r="E1336" s="201" t="str">
        <f>IF(OR(L1248="compact",D1336&gt;=0),"-",IF(ABS(D1336)&lt;=B1336,"OK","NG"))</f>
        <v>-</v>
      </c>
      <c r="F1336" s="200" t="str">
        <f>IF(OR(L1248="compact",D1336&gt;=0),"-",B1336/ABS(D1336))</f>
        <v>-</v>
      </c>
      <c r="G1336" s="201" t="str">
        <f>IF(OR(L1248="compact",D1336&lt;=0),"-",IF(ABS(D1336)&lt;=C1336,"OK","NG"))</f>
        <v>OK</v>
      </c>
      <c r="H1336" s="200">
        <f>IF(OR(L1248="compact",D1336&lt;=0),"-",C1336/ABS(D1336))</f>
        <v>405.95305072722113</v>
      </c>
      <c r="I1336" s="699">
        <f>INPUT!CI34</f>
        <v>-0.88604962936538267</v>
      </c>
      <c r="J1336" s="201" t="e">
        <f>IF(OR(L1248="compact",I1336&gt;=0),"-",IF(ABS(I1336)&lt;=B1336,"OK","NG"))</f>
        <v>#DIV/0!</v>
      </c>
      <c r="K1336" s="200" t="e">
        <f>IF(OR(L1248="compact",I1336&gt;=0),"-",B1336/ABS(I1336))</f>
        <v>#DIV/0!</v>
      </c>
      <c r="L1336" s="201" t="str">
        <f>IF(OR(L1248="compact",I1336&lt;=0),"-",IF(ABS(I1336)&lt;=C1336,"OK","NG"))</f>
        <v>-</v>
      </c>
      <c r="M1336" s="203" t="str">
        <f>IF(OR(L1248="compact",I1336&lt;=0),"-",C1336/ABS(I1336))</f>
        <v>-</v>
      </c>
      <c r="O1336" s="350"/>
    </row>
    <row r="1337">
      <c r="A1337" s="187">
        <f>A1249</f>
        <v>101</v>
      </c>
      <c r="B1337" s="191" t="e">
        <f>F1169</f>
        <v>#DIV/0!</v>
      </c>
      <c r="C1337" s="698">
        <f>G1169</f>
        <v>379.50847042889387</v>
      </c>
      <c r="D1337" s="699">
        <f>INPUT!CH35</f>
        <v>0.9348580328415943</v>
      </c>
      <c r="E1337" s="201" t="str">
        <f>IF(OR(L1249="compact",D1337&gt;=0),"-",IF(ABS(D1337)&lt;=B1337,"OK","NG"))</f>
        <v>-</v>
      </c>
      <c r="F1337" s="200" t="str">
        <f>IF(OR(L1249="compact",D1337&gt;=0),"-",B1337/ABS(D1337))</f>
        <v>-</v>
      </c>
      <c r="G1337" s="201" t="str">
        <f>IF(OR(L1249="compact",D1337&lt;=0),"-",IF(ABS(D1337)&lt;=C1337,"OK","NG"))</f>
        <v>OK</v>
      </c>
      <c r="H1337" s="200">
        <f>IF(OR(L1249="compact",D1337&lt;=0),"-",C1337/ABS(D1337))</f>
        <v>405.95305072722113</v>
      </c>
      <c r="I1337" s="699">
        <f>INPUT!CI35</f>
        <v>-0.88604962936538267</v>
      </c>
      <c r="J1337" s="201" t="e">
        <f>IF(OR(L1249="compact",I1337&gt;=0),"-",IF(ABS(I1337)&lt;=B1337,"OK","NG"))</f>
        <v>#DIV/0!</v>
      </c>
      <c r="K1337" s="200" t="e">
        <f>IF(OR(L1249="compact",I1337&gt;=0),"-",B1337/ABS(I1337))</f>
        <v>#DIV/0!</v>
      </c>
      <c r="L1337" s="201" t="str">
        <f>IF(OR(L1249="compact",I1337&lt;=0),"-",IF(ABS(I1337)&lt;=C1337,"OK","NG"))</f>
        <v>-</v>
      </c>
      <c r="M1337" s="203" t="str">
        <f>IF(OR(L1249="compact",I1337&lt;=0),"-",C1337/ABS(I1337))</f>
        <v>-</v>
      </c>
      <c r="O1337" s="350"/>
    </row>
    <row r="1338">
      <c r="A1338" s="187">
        <f>A1250</f>
        <v>101</v>
      </c>
      <c r="B1338" s="191" t="e">
        <f>F1170</f>
        <v>#DIV/0!</v>
      </c>
      <c r="C1338" s="698">
        <f>G1170</f>
        <v>379.50847042889387</v>
      </c>
      <c r="D1338" s="699">
        <f>INPUT!CH36</f>
        <v>0.9348580328415943</v>
      </c>
      <c r="E1338" s="201" t="str">
        <f>IF(OR(L1250="compact",D1338&gt;=0),"-",IF(ABS(D1338)&lt;=B1338,"OK","NG"))</f>
        <v>-</v>
      </c>
      <c r="F1338" s="200" t="str">
        <f>IF(OR(L1250="compact",D1338&gt;=0),"-",B1338/ABS(D1338))</f>
        <v>-</v>
      </c>
      <c r="G1338" s="201" t="str">
        <f>IF(OR(L1250="compact",D1338&lt;=0),"-",IF(ABS(D1338)&lt;=C1338,"OK","NG"))</f>
        <v>OK</v>
      </c>
      <c r="H1338" s="200">
        <f>IF(OR(L1250="compact",D1338&lt;=0),"-",C1338/ABS(D1338))</f>
        <v>405.95305072722113</v>
      </c>
      <c r="I1338" s="699">
        <f>INPUT!CI36</f>
        <v>-0.88604962936538267</v>
      </c>
      <c r="J1338" s="201" t="e">
        <f>IF(OR(L1250="compact",I1338&gt;=0),"-",IF(ABS(I1338)&lt;=B1338,"OK","NG"))</f>
        <v>#DIV/0!</v>
      </c>
      <c r="K1338" s="200" t="e">
        <f>IF(OR(L1250="compact",I1338&gt;=0),"-",B1338/ABS(I1338))</f>
        <v>#DIV/0!</v>
      </c>
      <c r="L1338" s="201" t="str">
        <f>IF(OR(L1250="compact",I1338&lt;=0),"-",IF(ABS(I1338)&lt;=C1338,"OK","NG"))</f>
        <v>-</v>
      </c>
      <c r="M1338" s="203" t="str">
        <f>IF(OR(L1250="compact",I1338&lt;=0),"-",C1338/ABS(I1338))</f>
        <v>-</v>
      </c>
      <c r="O1338" s="350"/>
    </row>
    <row r="1339">
      <c r="A1339" s="187">
        <f>A1251</f>
        <v>101</v>
      </c>
      <c r="B1339" s="191" t="e">
        <f>F1171</f>
        <v>#DIV/0!</v>
      </c>
      <c r="C1339" s="698">
        <f>G1171</f>
        <v>379.50847042889387</v>
      </c>
      <c r="D1339" s="699">
        <f>INPUT!CH37</f>
        <v>0.9348580328415943</v>
      </c>
      <c r="E1339" s="201" t="str">
        <f>IF(OR(L1251="compact",D1339&gt;=0),"-",IF(ABS(D1339)&lt;=B1339,"OK","NG"))</f>
        <v>-</v>
      </c>
      <c r="F1339" s="200" t="str">
        <f>IF(OR(L1251="compact",D1339&gt;=0),"-",B1339/ABS(D1339))</f>
        <v>-</v>
      </c>
      <c r="G1339" s="201" t="str">
        <f>IF(OR(L1251="compact",D1339&lt;=0),"-",IF(ABS(D1339)&lt;=C1339,"OK","NG"))</f>
        <v>OK</v>
      </c>
      <c r="H1339" s="200">
        <f>IF(OR(L1251="compact",D1339&lt;=0),"-",C1339/ABS(D1339))</f>
        <v>405.95305072722113</v>
      </c>
      <c r="I1339" s="699">
        <f>INPUT!CI37</f>
        <v>-0.88604962936538267</v>
      </c>
      <c r="J1339" s="201" t="e">
        <f>IF(OR(L1251="compact",I1339&gt;=0),"-",IF(ABS(I1339)&lt;=B1339,"OK","NG"))</f>
        <v>#DIV/0!</v>
      </c>
      <c r="K1339" s="200" t="e">
        <f>IF(OR(L1251="compact",I1339&gt;=0),"-",B1339/ABS(I1339))</f>
        <v>#DIV/0!</v>
      </c>
      <c r="L1339" s="201" t="str">
        <f>IF(OR(L1251="compact",I1339&lt;=0),"-",IF(ABS(I1339)&lt;=C1339,"OK","NG"))</f>
        <v>-</v>
      </c>
      <c r="M1339" s="203" t="str">
        <f>IF(OR(L1251="compact",I1339&lt;=0),"-",C1339/ABS(I1339))</f>
        <v>-</v>
      </c>
      <c r="O1339" s="350"/>
    </row>
    <row r="1340">
      <c r="A1340" s="187">
        <f>A1252</f>
        <v>101</v>
      </c>
      <c r="B1340" s="191" t="e">
        <f>F1172</f>
        <v>#DIV/0!</v>
      </c>
      <c r="C1340" s="698">
        <f>G1172</f>
        <v>379.50847042889387</v>
      </c>
      <c r="D1340" s="699">
        <f>INPUT!CH38</f>
        <v>0.9348580328415943</v>
      </c>
      <c r="E1340" s="201" t="str">
        <f>IF(OR(L1252="compact",D1340&gt;=0),"-",IF(ABS(D1340)&lt;=B1340,"OK","NG"))</f>
        <v>-</v>
      </c>
      <c r="F1340" s="200" t="str">
        <f>IF(OR(L1252="compact",D1340&gt;=0),"-",B1340/ABS(D1340))</f>
        <v>-</v>
      </c>
      <c r="G1340" s="201" t="str">
        <f>IF(OR(L1252="compact",D1340&lt;=0),"-",IF(ABS(D1340)&lt;=C1340,"OK","NG"))</f>
        <v>OK</v>
      </c>
      <c r="H1340" s="200">
        <f>IF(OR(L1252="compact",D1340&lt;=0),"-",C1340/ABS(D1340))</f>
        <v>405.95305072722113</v>
      </c>
      <c r="I1340" s="699">
        <f>INPUT!CI38</f>
        <v>-0.88604962936538267</v>
      </c>
      <c r="J1340" s="201" t="e">
        <f>IF(OR(L1252="compact",I1340&gt;=0),"-",IF(ABS(I1340)&lt;=B1340,"OK","NG"))</f>
        <v>#DIV/0!</v>
      </c>
      <c r="K1340" s="200" t="e">
        <f>IF(OR(L1252="compact",I1340&gt;=0),"-",B1340/ABS(I1340))</f>
        <v>#DIV/0!</v>
      </c>
      <c r="L1340" s="201" t="str">
        <f>IF(OR(L1252="compact",I1340&lt;=0),"-",IF(ABS(I1340)&lt;=C1340,"OK","NG"))</f>
        <v>-</v>
      </c>
      <c r="M1340" s="203" t="str">
        <f>IF(OR(L1252="compact",I1340&lt;=0),"-",C1340/ABS(I1340))</f>
        <v>-</v>
      </c>
      <c r="O1340" s="350"/>
    </row>
    <row r="1341">
      <c r="A1341" s="187">
        <f>A1253</f>
        <v>101</v>
      </c>
      <c r="B1341" s="191" t="e">
        <f>F1173</f>
        <v>#DIV/0!</v>
      </c>
      <c r="C1341" s="698">
        <f>G1173</f>
        <v>379.50847042889387</v>
      </c>
      <c r="D1341" s="699">
        <f>INPUT!CH39</f>
        <v>0.9348580328415943</v>
      </c>
      <c r="E1341" s="201" t="str">
        <f>IF(OR(L1253="compact",D1341&gt;=0),"-",IF(ABS(D1341)&lt;=B1341,"OK","NG"))</f>
        <v>-</v>
      </c>
      <c r="F1341" s="200" t="str">
        <f>IF(OR(L1253="compact",D1341&gt;=0),"-",B1341/ABS(D1341))</f>
        <v>-</v>
      </c>
      <c r="G1341" s="201" t="str">
        <f>IF(OR(L1253="compact",D1341&lt;=0),"-",IF(ABS(D1341)&lt;=C1341,"OK","NG"))</f>
        <v>OK</v>
      </c>
      <c r="H1341" s="200">
        <f>IF(OR(L1253="compact",D1341&lt;=0),"-",C1341/ABS(D1341))</f>
        <v>405.95305072722113</v>
      </c>
      <c r="I1341" s="699">
        <f>INPUT!CI39</f>
        <v>-0.88604962936538267</v>
      </c>
      <c r="J1341" s="201" t="e">
        <f>IF(OR(L1253="compact",I1341&gt;=0),"-",IF(ABS(I1341)&lt;=B1341,"OK","NG"))</f>
        <v>#DIV/0!</v>
      </c>
      <c r="K1341" s="200" t="e">
        <f>IF(OR(L1253="compact",I1341&gt;=0),"-",B1341/ABS(I1341))</f>
        <v>#DIV/0!</v>
      </c>
      <c r="L1341" s="201" t="str">
        <f>IF(OR(L1253="compact",I1341&lt;=0),"-",IF(ABS(I1341)&lt;=C1341,"OK","NG"))</f>
        <v>-</v>
      </c>
      <c r="M1341" s="203" t="str">
        <f>IF(OR(L1253="compact",I1341&lt;=0),"-",C1341/ABS(I1341))</f>
        <v>-</v>
      </c>
      <c r="O1341" s="350"/>
    </row>
    <row r="1342">
      <c r="A1342" s="187">
        <f>A1254</f>
        <v>101</v>
      </c>
      <c r="B1342" s="191" t="e">
        <f>F1174</f>
        <v>#DIV/0!</v>
      </c>
      <c r="C1342" s="698">
        <f>G1174</f>
        <v>379.50847042889387</v>
      </c>
      <c r="D1342" s="699">
        <f>INPUT!CH40</f>
        <v>0.9348580328415943</v>
      </c>
      <c r="E1342" s="201" t="str">
        <f>IF(OR(L1254="compact",D1342&gt;=0),"-",IF(ABS(D1342)&lt;=B1342,"OK","NG"))</f>
        <v>-</v>
      </c>
      <c r="F1342" s="200" t="str">
        <f>IF(OR(L1254="compact",D1342&gt;=0),"-",B1342/ABS(D1342))</f>
        <v>-</v>
      </c>
      <c r="G1342" s="201" t="str">
        <f>IF(OR(L1254="compact",D1342&lt;=0),"-",IF(ABS(D1342)&lt;=C1342,"OK","NG"))</f>
        <v>OK</v>
      </c>
      <c r="H1342" s="200">
        <f>IF(OR(L1254="compact",D1342&lt;=0),"-",C1342/ABS(D1342))</f>
        <v>405.95305072722113</v>
      </c>
      <c r="I1342" s="699">
        <f>INPUT!CI40</f>
        <v>-0.88604962936538267</v>
      </c>
      <c r="J1342" s="201" t="e">
        <f>IF(OR(L1254="compact",I1342&gt;=0),"-",IF(ABS(I1342)&lt;=B1342,"OK","NG"))</f>
        <v>#DIV/0!</v>
      </c>
      <c r="K1342" s="200" t="e">
        <f>IF(OR(L1254="compact",I1342&gt;=0),"-",B1342/ABS(I1342))</f>
        <v>#DIV/0!</v>
      </c>
      <c r="L1342" s="201" t="str">
        <f>IF(OR(L1254="compact",I1342&lt;=0),"-",IF(ABS(I1342)&lt;=C1342,"OK","NG"))</f>
        <v>-</v>
      </c>
      <c r="M1342" s="203" t="str">
        <f>IF(OR(L1254="compact",I1342&lt;=0),"-",C1342/ABS(I1342))</f>
        <v>-</v>
      </c>
      <c r="O1342" s="350"/>
    </row>
    <row r="1343">
      <c r="A1343" s="187">
        <f>A1255</f>
        <v>101</v>
      </c>
      <c r="B1343" s="191" t="e">
        <f>F1175</f>
        <v>#DIV/0!</v>
      </c>
      <c r="C1343" s="698">
        <f>G1175</f>
        <v>379.50847042889387</v>
      </c>
      <c r="D1343" s="699">
        <f>INPUT!CH41</f>
        <v>0.9348580328415943</v>
      </c>
      <c r="E1343" s="201" t="str">
        <f>IF(OR(L1255="compact",D1343&gt;=0),"-",IF(ABS(D1343)&lt;=B1343,"OK","NG"))</f>
        <v>-</v>
      </c>
      <c r="F1343" s="200" t="str">
        <f>IF(OR(L1255="compact",D1343&gt;=0),"-",B1343/ABS(D1343))</f>
        <v>-</v>
      </c>
      <c r="G1343" s="201" t="str">
        <f>IF(OR(L1255="compact",D1343&lt;=0),"-",IF(ABS(D1343)&lt;=C1343,"OK","NG"))</f>
        <v>OK</v>
      </c>
      <c r="H1343" s="200">
        <f>IF(OR(L1255="compact",D1343&lt;=0),"-",C1343/ABS(D1343))</f>
        <v>405.95305072722113</v>
      </c>
      <c r="I1343" s="699">
        <f>INPUT!CI41</f>
        <v>-0.88604962936538267</v>
      </c>
      <c r="J1343" s="201" t="e">
        <f>IF(OR(L1255="compact",I1343&gt;=0),"-",IF(ABS(I1343)&lt;=B1343,"OK","NG"))</f>
        <v>#DIV/0!</v>
      </c>
      <c r="K1343" s="200" t="e">
        <f>IF(OR(L1255="compact",I1343&gt;=0),"-",B1343/ABS(I1343))</f>
        <v>#DIV/0!</v>
      </c>
      <c r="L1343" s="201" t="str">
        <f>IF(OR(L1255="compact",I1343&lt;=0),"-",IF(ABS(I1343)&lt;=C1343,"OK","NG"))</f>
        <v>-</v>
      </c>
      <c r="M1343" s="203" t="str">
        <f>IF(OR(L1255="compact",I1343&lt;=0),"-",C1343/ABS(I1343))</f>
        <v>-</v>
      </c>
      <c r="O1343" s="350"/>
    </row>
    <row r="1344">
      <c r="A1344" s="187">
        <f>A1256</f>
        <v>101</v>
      </c>
      <c r="B1344" s="191" t="e">
        <f>F1176</f>
        <v>#DIV/0!</v>
      </c>
      <c r="C1344" s="698">
        <f>G1176</f>
        <v>379.50847042889387</v>
      </c>
      <c r="D1344" s="699">
        <f>INPUT!CH42</f>
        <v>0.9348580328415943</v>
      </c>
      <c r="E1344" s="201" t="str">
        <f>IF(OR(L1256="compact",D1344&gt;=0),"-",IF(ABS(D1344)&lt;=B1344,"OK","NG"))</f>
        <v>-</v>
      </c>
      <c r="F1344" s="200" t="str">
        <f>IF(OR(L1256="compact",D1344&gt;=0),"-",B1344/ABS(D1344))</f>
        <v>-</v>
      </c>
      <c r="G1344" s="201" t="str">
        <f>IF(OR(L1256="compact",D1344&lt;=0),"-",IF(ABS(D1344)&lt;=C1344,"OK","NG"))</f>
        <v>OK</v>
      </c>
      <c r="H1344" s="200">
        <f>IF(OR(L1256="compact",D1344&lt;=0),"-",C1344/ABS(D1344))</f>
        <v>405.95305072722113</v>
      </c>
      <c r="I1344" s="699">
        <f>INPUT!CI42</f>
        <v>-0.88604962936538267</v>
      </c>
      <c r="J1344" s="201" t="e">
        <f>IF(OR(L1256="compact",I1344&gt;=0),"-",IF(ABS(I1344)&lt;=B1344,"OK","NG"))</f>
        <v>#DIV/0!</v>
      </c>
      <c r="K1344" s="200" t="e">
        <f>IF(OR(L1256="compact",I1344&gt;=0),"-",B1344/ABS(I1344))</f>
        <v>#DIV/0!</v>
      </c>
      <c r="L1344" s="201" t="str">
        <f>IF(OR(L1256="compact",I1344&lt;=0),"-",IF(ABS(I1344)&lt;=C1344,"OK","NG"))</f>
        <v>-</v>
      </c>
      <c r="M1344" s="203" t="str">
        <f>IF(OR(L1256="compact",I1344&lt;=0),"-",C1344/ABS(I1344))</f>
        <v>-</v>
      </c>
      <c r="O1344" s="350"/>
    </row>
    <row r="1345">
      <c r="A1345" s="187">
        <f>A1257</f>
        <v>101</v>
      </c>
      <c r="B1345" s="191" t="e">
        <f>F1177</f>
        <v>#DIV/0!</v>
      </c>
      <c r="C1345" s="698">
        <f>G1177</f>
        <v>379.50847042889387</v>
      </c>
      <c r="D1345" s="699">
        <f>INPUT!CH43</f>
        <v>0.9348580328415943</v>
      </c>
      <c r="E1345" s="201" t="str">
        <f>IF(OR(L1257="compact",D1345&gt;=0),"-",IF(ABS(D1345)&lt;=B1345,"OK","NG"))</f>
        <v>-</v>
      </c>
      <c r="F1345" s="200" t="str">
        <f>IF(OR(L1257="compact",D1345&gt;=0),"-",B1345/ABS(D1345))</f>
        <v>-</v>
      </c>
      <c r="G1345" s="201" t="str">
        <f>IF(OR(L1257="compact",D1345&lt;=0),"-",IF(ABS(D1345)&lt;=C1345,"OK","NG"))</f>
        <v>OK</v>
      </c>
      <c r="H1345" s="200">
        <f>IF(OR(L1257="compact",D1345&lt;=0),"-",C1345/ABS(D1345))</f>
        <v>405.95305072722113</v>
      </c>
      <c r="I1345" s="699">
        <f>INPUT!CI43</f>
        <v>-0.88604962936538267</v>
      </c>
      <c r="J1345" s="201" t="e">
        <f>IF(OR(L1257="compact",I1345&gt;=0),"-",IF(ABS(I1345)&lt;=B1345,"OK","NG"))</f>
        <v>#DIV/0!</v>
      </c>
      <c r="K1345" s="200" t="e">
        <f>IF(OR(L1257="compact",I1345&gt;=0),"-",B1345/ABS(I1345))</f>
        <v>#DIV/0!</v>
      </c>
      <c r="L1345" s="201" t="str">
        <f>IF(OR(L1257="compact",I1345&lt;=0),"-",IF(ABS(I1345)&lt;=C1345,"OK","NG"))</f>
        <v>-</v>
      </c>
      <c r="M1345" s="203" t="str">
        <f>IF(OR(L1257="compact",I1345&lt;=0),"-",C1345/ABS(I1345))</f>
        <v>-</v>
      </c>
      <c r="O1345" s="350"/>
    </row>
    <row r="1346">
      <c r="A1346" s="187">
        <f>A1258</f>
        <v>101</v>
      </c>
      <c r="B1346" s="191" t="e">
        <f>F1178</f>
        <v>#DIV/0!</v>
      </c>
      <c r="C1346" s="698">
        <f>G1178</f>
        <v>379.50847042889387</v>
      </c>
      <c r="D1346" s="699">
        <f>INPUT!CH44</f>
        <v>0.9348580328415943</v>
      </c>
      <c r="E1346" s="201" t="str">
        <f>IF(OR(L1258="compact",D1346&gt;=0),"-",IF(ABS(D1346)&lt;=B1346,"OK","NG"))</f>
        <v>-</v>
      </c>
      <c r="F1346" s="200" t="str">
        <f>IF(OR(L1258="compact",D1346&gt;=0),"-",B1346/ABS(D1346))</f>
        <v>-</v>
      </c>
      <c r="G1346" s="201" t="str">
        <f>IF(OR(L1258="compact",D1346&lt;=0),"-",IF(ABS(D1346)&lt;=C1346,"OK","NG"))</f>
        <v>OK</v>
      </c>
      <c r="H1346" s="200">
        <f>IF(OR(L1258="compact",D1346&lt;=0),"-",C1346/ABS(D1346))</f>
        <v>405.95305072722113</v>
      </c>
      <c r="I1346" s="699">
        <f>INPUT!CI44</f>
        <v>-0.88604962936538267</v>
      </c>
      <c r="J1346" s="201" t="e">
        <f>IF(OR(L1258="compact",I1346&gt;=0),"-",IF(ABS(I1346)&lt;=B1346,"OK","NG"))</f>
        <v>#DIV/0!</v>
      </c>
      <c r="K1346" s="200" t="e">
        <f>IF(OR(L1258="compact",I1346&gt;=0),"-",B1346/ABS(I1346))</f>
        <v>#DIV/0!</v>
      </c>
      <c r="L1346" s="201" t="str">
        <f>IF(OR(L1258="compact",I1346&lt;=0),"-",IF(ABS(I1346)&lt;=C1346,"OK","NG"))</f>
        <v>-</v>
      </c>
      <c r="M1346" s="203" t="str">
        <f>IF(OR(L1258="compact",I1346&lt;=0),"-",C1346/ABS(I1346))</f>
        <v>-</v>
      </c>
      <c r="O1346" s="350"/>
    </row>
    <row r="1347">
      <c r="A1347" s="187">
        <f>A1259</f>
        <v>101</v>
      </c>
      <c r="B1347" s="191" t="e">
        <f>F1179</f>
        <v>#DIV/0!</v>
      </c>
      <c r="C1347" s="698">
        <f>G1179</f>
        <v>379.50847042889387</v>
      </c>
      <c r="D1347" s="699">
        <f>INPUT!CH45</f>
        <v>0.9348580328415943</v>
      </c>
      <c r="E1347" s="201" t="str">
        <f>IF(OR(L1259="compact",D1347&gt;=0),"-",IF(ABS(D1347)&lt;=B1347,"OK","NG"))</f>
        <v>-</v>
      </c>
      <c r="F1347" s="200" t="str">
        <f>IF(OR(L1259="compact",D1347&gt;=0),"-",B1347/ABS(D1347))</f>
        <v>-</v>
      </c>
      <c r="G1347" s="201" t="str">
        <f>IF(OR(L1259="compact",D1347&lt;=0),"-",IF(ABS(D1347)&lt;=C1347,"OK","NG"))</f>
        <v>OK</v>
      </c>
      <c r="H1347" s="200">
        <f>IF(OR(L1259="compact",D1347&lt;=0),"-",C1347/ABS(D1347))</f>
        <v>405.95305072722113</v>
      </c>
      <c r="I1347" s="699">
        <f>INPUT!CI45</f>
        <v>-0.88604962936538267</v>
      </c>
      <c r="J1347" s="201" t="e">
        <f>IF(OR(L1259="compact",I1347&gt;=0),"-",IF(ABS(I1347)&lt;=B1347,"OK","NG"))</f>
        <v>#DIV/0!</v>
      </c>
      <c r="K1347" s="200" t="e">
        <f>IF(OR(L1259="compact",I1347&gt;=0),"-",B1347/ABS(I1347))</f>
        <v>#DIV/0!</v>
      </c>
      <c r="L1347" s="201" t="str">
        <f>IF(OR(L1259="compact",I1347&lt;=0),"-",IF(ABS(I1347)&lt;=C1347,"OK","NG"))</f>
        <v>-</v>
      </c>
      <c r="M1347" s="203" t="str">
        <f>IF(OR(L1259="compact",I1347&lt;=0),"-",C1347/ABS(I1347))</f>
        <v>-</v>
      </c>
      <c r="O1347" s="350"/>
    </row>
    <row r="1348">
      <c r="A1348" s="187">
        <f>A1260</f>
        <v>101</v>
      </c>
      <c r="B1348" s="191" t="e">
        <f>F1180</f>
        <v>#DIV/0!</v>
      </c>
      <c r="C1348" s="698">
        <f>G1180</f>
        <v>379.50847042889387</v>
      </c>
      <c r="D1348" s="699">
        <f>INPUT!CH46</f>
        <v>0.9348580328415943</v>
      </c>
      <c r="E1348" s="201" t="str">
        <f>IF(OR(L1260="compact",D1348&gt;=0),"-",IF(ABS(D1348)&lt;=B1348,"OK","NG"))</f>
        <v>-</v>
      </c>
      <c r="F1348" s="200" t="str">
        <f>IF(OR(L1260="compact",D1348&gt;=0),"-",B1348/ABS(D1348))</f>
        <v>-</v>
      </c>
      <c r="G1348" s="201" t="str">
        <f>IF(OR(L1260="compact",D1348&lt;=0),"-",IF(ABS(D1348)&lt;=C1348,"OK","NG"))</f>
        <v>OK</v>
      </c>
      <c r="H1348" s="200">
        <f>IF(OR(L1260="compact",D1348&lt;=0),"-",C1348/ABS(D1348))</f>
        <v>405.95305072722113</v>
      </c>
      <c r="I1348" s="699">
        <f>INPUT!CI46</f>
        <v>-0.88604962936538267</v>
      </c>
      <c r="J1348" s="201" t="e">
        <f>IF(OR(L1260="compact",I1348&gt;=0),"-",IF(ABS(I1348)&lt;=B1348,"OK","NG"))</f>
        <v>#DIV/0!</v>
      </c>
      <c r="K1348" s="200" t="e">
        <f>IF(OR(L1260="compact",I1348&gt;=0),"-",B1348/ABS(I1348))</f>
        <v>#DIV/0!</v>
      </c>
      <c r="L1348" s="201" t="str">
        <f>IF(OR(L1260="compact",I1348&lt;=0),"-",IF(ABS(I1348)&lt;=C1348,"OK","NG"))</f>
        <v>-</v>
      </c>
      <c r="M1348" s="203" t="str">
        <f>IF(OR(L1260="compact",I1348&lt;=0),"-",C1348/ABS(I1348))</f>
        <v>-</v>
      </c>
      <c r="O1348" s="350"/>
    </row>
    <row r="1349">
      <c r="A1349" s="187">
        <f>A1261</f>
        <v>101</v>
      </c>
      <c r="B1349" s="191" t="e">
        <f>F1181</f>
        <v>#DIV/0!</v>
      </c>
      <c r="C1349" s="698">
        <f>G1181</f>
        <v>379.50847042889387</v>
      </c>
      <c r="D1349" s="699">
        <f>INPUT!CH47</f>
        <v>0.9348580328415943</v>
      </c>
      <c r="E1349" s="201" t="str">
        <f>IF(OR(L1261="compact",D1349&gt;=0),"-",IF(ABS(D1349)&lt;=B1349,"OK","NG"))</f>
        <v>-</v>
      </c>
      <c r="F1349" s="200" t="str">
        <f>IF(OR(L1261="compact",D1349&gt;=0),"-",B1349/ABS(D1349))</f>
        <v>-</v>
      </c>
      <c r="G1349" s="201" t="str">
        <f>IF(OR(L1261="compact",D1349&lt;=0),"-",IF(ABS(D1349)&lt;=C1349,"OK","NG"))</f>
        <v>OK</v>
      </c>
      <c r="H1349" s="200">
        <f>IF(OR(L1261="compact",D1349&lt;=0),"-",C1349/ABS(D1349))</f>
        <v>405.95305072722113</v>
      </c>
      <c r="I1349" s="699">
        <f>INPUT!CI47</f>
        <v>-0.88604962936538267</v>
      </c>
      <c r="J1349" s="201" t="e">
        <f>IF(OR(L1261="compact",I1349&gt;=0),"-",IF(ABS(I1349)&lt;=B1349,"OK","NG"))</f>
        <v>#DIV/0!</v>
      </c>
      <c r="K1349" s="200" t="e">
        <f>IF(OR(L1261="compact",I1349&gt;=0),"-",B1349/ABS(I1349))</f>
        <v>#DIV/0!</v>
      </c>
      <c r="L1349" s="201" t="str">
        <f>IF(OR(L1261="compact",I1349&lt;=0),"-",IF(ABS(I1349)&lt;=C1349,"OK","NG"))</f>
        <v>-</v>
      </c>
      <c r="M1349" s="203" t="str">
        <f>IF(OR(L1261="compact",I1349&lt;=0),"-",C1349/ABS(I1349))</f>
        <v>-</v>
      </c>
      <c r="O1349" s="350"/>
    </row>
    <row r="1350">
      <c r="A1350" s="187">
        <f>A1262</f>
        <v>101</v>
      </c>
      <c r="B1350" s="191" t="e">
        <f>F1182</f>
        <v>#DIV/0!</v>
      </c>
      <c r="C1350" s="698">
        <f>G1182</f>
        <v>379.50847042889387</v>
      </c>
      <c r="D1350" s="699">
        <f>INPUT!CH48</f>
        <v>0.9348580328415943</v>
      </c>
      <c r="E1350" s="201" t="str">
        <f>IF(OR(L1262="compact",D1350&gt;=0),"-",IF(ABS(D1350)&lt;=B1350,"OK","NG"))</f>
        <v>-</v>
      </c>
      <c r="F1350" s="200" t="str">
        <f>IF(OR(L1262="compact",D1350&gt;=0),"-",B1350/ABS(D1350))</f>
        <v>-</v>
      </c>
      <c r="G1350" s="201" t="str">
        <f>IF(OR(L1262="compact",D1350&lt;=0),"-",IF(ABS(D1350)&lt;=C1350,"OK","NG"))</f>
        <v>OK</v>
      </c>
      <c r="H1350" s="200">
        <f>IF(OR(L1262="compact",D1350&lt;=0),"-",C1350/ABS(D1350))</f>
        <v>405.95305072722113</v>
      </c>
      <c r="I1350" s="699">
        <f>INPUT!CI48</f>
        <v>-0.88604962936538267</v>
      </c>
      <c r="J1350" s="201" t="e">
        <f>IF(OR(L1262="compact",I1350&gt;=0),"-",IF(ABS(I1350)&lt;=B1350,"OK","NG"))</f>
        <v>#DIV/0!</v>
      </c>
      <c r="K1350" s="200" t="e">
        <f>IF(OR(L1262="compact",I1350&gt;=0),"-",B1350/ABS(I1350))</f>
        <v>#DIV/0!</v>
      </c>
      <c r="L1350" s="201" t="str">
        <f>IF(OR(L1262="compact",I1350&lt;=0),"-",IF(ABS(I1350)&lt;=C1350,"OK","NG"))</f>
        <v>-</v>
      </c>
      <c r="M1350" s="203" t="str">
        <f>IF(OR(L1262="compact",I1350&lt;=0),"-",C1350/ABS(I1350))</f>
        <v>-</v>
      </c>
      <c r="O1350" s="350"/>
    </row>
    <row r="1351">
      <c r="A1351" s="187">
        <f>A1263</f>
        <v>101</v>
      </c>
      <c r="B1351" s="191" t="e">
        <f>F1183</f>
        <v>#DIV/0!</v>
      </c>
      <c r="C1351" s="698">
        <f>G1183</f>
        <v>379.50847042889387</v>
      </c>
      <c r="D1351" s="699">
        <f>INPUT!CH49</f>
        <v>0.9348580328415943</v>
      </c>
      <c r="E1351" s="201" t="str">
        <f>IF(OR(L1263="compact",D1351&gt;=0),"-",IF(ABS(D1351)&lt;=B1351,"OK","NG"))</f>
        <v>-</v>
      </c>
      <c r="F1351" s="200" t="str">
        <f>IF(OR(L1263="compact",D1351&gt;=0),"-",B1351/ABS(D1351))</f>
        <v>-</v>
      </c>
      <c r="G1351" s="201" t="str">
        <f>IF(OR(L1263="compact",D1351&lt;=0),"-",IF(ABS(D1351)&lt;=C1351,"OK","NG"))</f>
        <v>OK</v>
      </c>
      <c r="H1351" s="200">
        <f>IF(OR(L1263="compact",D1351&lt;=0),"-",C1351/ABS(D1351))</f>
        <v>405.95305072722113</v>
      </c>
      <c r="I1351" s="699">
        <f>INPUT!CI49</f>
        <v>-0.88604962936538267</v>
      </c>
      <c r="J1351" s="201" t="e">
        <f>IF(OR(L1263="compact",I1351&gt;=0),"-",IF(ABS(I1351)&lt;=B1351,"OK","NG"))</f>
        <v>#DIV/0!</v>
      </c>
      <c r="K1351" s="200" t="e">
        <f>IF(OR(L1263="compact",I1351&gt;=0),"-",B1351/ABS(I1351))</f>
        <v>#DIV/0!</v>
      </c>
      <c r="L1351" s="201" t="str">
        <f>IF(OR(L1263="compact",I1351&lt;=0),"-",IF(ABS(I1351)&lt;=C1351,"OK","NG"))</f>
        <v>-</v>
      </c>
      <c r="M1351" s="203" t="str">
        <f>IF(OR(L1263="compact",I1351&lt;=0),"-",C1351/ABS(I1351))</f>
        <v>-</v>
      </c>
      <c r="O1351" s="350"/>
    </row>
    <row r="1352">
      <c r="A1352" s="187">
        <f>A1264</f>
        <v>101</v>
      </c>
      <c r="B1352" s="191" t="e">
        <f>F1184</f>
        <v>#DIV/0!</v>
      </c>
      <c r="C1352" s="698">
        <f>G1184</f>
        <v>379.50847042889387</v>
      </c>
      <c r="D1352" s="699">
        <f>INPUT!CH50</f>
        <v>0.9348580328415943</v>
      </c>
      <c r="E1352" s="201" t="str">
        <f>IF(OR(L1264="compact",D1352&gt;=0),"-",IF(ABS(D1352)&lt;=B1352,"OK","NG"))</f>
        <v>-</v>
      </c>
      <c r="F1352" s="200" t="str">
        <f>IF(OR(L1264="compact",D1352&gt;=0),"-",B1352/ABS(D1352))</f>
        <v>-</v>
      </c>
      <c r="G1352" s="201" t="str">
        <f>IF(OR(L1264="compact",D1352&lt;=0),"-",IF(ABS(D1352)&lt;=C1352,"OK","NG"))</f>
        <v>OK</v>
      </c>
      <c r="H1352" s="200">
        <f>IF(OR(L1264="compact",D1352&lt;=0),"-",C1352/ABS(D1352))</f>
        <v>405.95305072722113</v>
      </c>
      <c r="I1352" s="699">
        <f>INPUT!CI50</f>
        <v>-0.88604962936538267</v>
      </c>
      <c r="J1352" s="201" t="e">
        <f>IF(OR(L1264="compact",I1352&gt;=0),"-",IF(ABS(I1352)&lt;=B1352,"OK","NG"))</f>
        <v>#DIV/0!</v>
      </c>
      <c r="K1352" s="200" t="e">
        <f>IF(OR(L1264="compact",I1352&gt;=0),"-",B1352/ABS(I1352))</f>
        <v>#DIV/0!</v>
      </c>
      <c r="L1352" s="201" t="str">
        <f>IF(OR(L1264="compact",I1352&lt;=0),"-",IF(ABS(I1352)&lt;=C1352,"OK","NG"))</f>
        <v>-</v>
      </c>
      <c r="M1352" s="203" t="str">
        <f>IF(OR(L1264="compact",I1352&lt;=0),"-",C1352/ABS(I1352))</f>
        <v>-</v>
      </c>
      <c r="O1352" s="350"/>
    </row>
    <row r="1353">
      <c r="A1353" s="187">
        <f>A1265</f>
        <v>101</v>
      </c>
      <c r="B1353" s="191" t="e">
        <f>F1185</f>
        <v>#DIV/0!</v>
      </c>
      <c r="C1353" s="698">
        <f>G1185</f>
        <v>379.50847042889387</v>
      </c>
      <c r="D1353" s="699">
        <f>INPUT!CH51</f>
        <v>0.9348580328415943</v>
      </c>
      <c r="E1353" s="201" t="str">
        <f>IF(OR(L1265="compact",D1353&gt;=0),"-",IF(ABS(D1353)&lt;=B1353,"OK","NG"))</f>
        <v>-</v>
      </c>
      <c r="F1353" s="200" t="str">
        <f>IF(OR(L1265="compact",D1353&gt;=0),"-",B1353/ABS(D1353))</f>
        <v>-</v>
      </c>
      <c r="G1353" s="201" t="str">
        <f>IF(OR(L1265="compact",D1353&lt;=0),"-",IF(ABS(D1353)&lt;=C1353,"OK","NG"))</f>
        <v>OK</v>
      </c>
      <c r="H1353" s="200">
        <f>IF(OR(L1265="compact",D1353&lt;=0),"-",C1353/ABS(D1353))</f>
        <v>405.95305072722113</v>
      </c>
      <c r="I1353" s="699">
        <f>INPUT!CI51</f>
        <v>-0.88604962936538267</v>
      </c>
      <c r="J1353" s="201" t="e">
        <f>IF(OR(L1265="compact",I1353&gt;=0),"-",IF(ABS(I1353)&lt;=B1353,"OK","NG"))</f>
        <v>#DIV/0!</v>
      </c>
      <c r="K1353" s="200" t="e">
        <f>IF(OR(L1265="compact",I1353&gt;=0),"-",B1353/ABS(I1353))</f>
        <v>#DIV/0!</v>
      </c>
      <c r="L1353" s="201" t="str">
        <f>IF(OR(L1265="compact",I1353&lt;=0),"-",IF(ABS(I1353)&lt;=C1353,"OK","NG"))</f>
        <v>-</v>
      </c>
      <c r="M1353" s="203" t="str">
        <f>IF(OR(L1265="compact",I1353&lt;=0),"-",C1353/ABS(I1353))</f>
        <v>-</v>
      </c>
      <c r="O1353" s="350"/>
    </row>
    <row r="1354">
      <c r="A1354" s="187">
        <f>A1266</f>
        <v>101</v>
      </c>
      <c r="B1354" s="191" t="e">
        <f>F1186</f>
        <v>#DIV/0!</v>
      </c>
      <c r="C1354" s="698">
        <f>G1186</f>
        <v>379.50847042889387</v>
      </c>
      <c r="D1354" s="699">
        <f>INPUT!CH52</f>
        <v>0.9348580328415943</v>
      </c>
      <c r="E1354" s="201" t="str">
        <f>IF(OR(L1266="compact",D1354&gt;=0),"-",IF(ABS(D1354)&lt;=B1354,"OK","NG"))</f>
        <v>-</v>
      </c>
      <c r="F1354" s="200" t="str">
        <f>IF(OR(L1266="compact",D1354&gt;=0),"-",B1354/ABS(D1354))</f>
        <v>-</v>
      </c>
      <c r="G1354" s="201" t="str">
        <f>IF(OR(L1266="compact",D1354&lt;=0),"-",IF(ABS(D1354)&lt;=C1354,"OK","NG"))</f>
        <v>OK</v>
      </c>
      <c r="H1354" s="200">
        <f>IF(OR(L1266="compact",D1354&lt;=0),"-",C1354/ABS(D1354))</f>
        <v>405.95305072722113</v>
      </c>
      <c r="I1354" s="699">
        <f>INPUT!CI52</f>
        <v>-0.88604962936538267</v>
      </c>
      <c r="J1354" s="201" t="e">
        <f>IF(OR(L1266="compact",I1354&gt;=0),"-",IF(ABS(I1354)&lt;=B1354,"OK","NG"))</f>
        <v>#DIV/0!</v>
      </c>
      <c r="K1354" s="200" t="e">
        <f>IF(OR(L1266="compact",I1354&gt;=0),"-",B1354/ABS(I1354))</f>
        <v>#DIV/0!</v>
      </c>
      <c r="L1354" s="201" t="str">
        <f>IF(OR(L1266="compact",I1354&lt;=0),"-",IF(ABS(I1354)&lt;=C1354,"OK","NG"))</f>
        <v>-</v>
      </c>
      <c r="M1354" s="203" t="str">
        <f>IF(OR(L1266="compact",I1354&lt;=0),"-",C1354/ABS(I1354))</f>
        <v>-</v>
      </c>
      <c r="O1354" s="350"/>
    </row>
    <row r="1355">
      <c r="A1355" s="187">
        <f>A1267</f>
        <v>101</v>
      </c>
      <c r="B1355" s="191" t="e">
        <f>F1187</f>
        <v>#DIV/0!</v>
      </c>
      <c r="C1355" s="698">
        <f>G1187</f>
        <v>379.50847042889387</v>
      </c>
      <c r="D1355" s="699">
        <f>INPUT!CH53</f>
        <v>0.9348580328415943</v>
      </c>
      <c r="E1355" s="201" t="str">
        <f>IF(OR(L1267="compact",D1355&gt;=0),"-",IF(ABS(D1355)&lt;=B1355,"OK","NG"))</f>
        <v>-</v>
      </c>
      <c r="F1355" s="200" t="str">
        <f>IF(OR(L1267="compact",D1355&gt;=0),"-",B1355/ABS(D1355))</f>
        <v>-</v>
      </c>
      <c r="G1355" s="201" t="str">
        <f>IF(OR(L1267="compact",D1355&lt;=0),"-",IF(ABS(D1355)&lt;=C1355,"OK","NG"))</f>
        <v>OK</v>
      </c>
      <c r="H1355" s="200">
        <f>IF(OR(L1267="compact",D1355&lt;=0),"-",C1355/ABS(D1355))</f>
        <v>405.95305072722113</v>
      </c>
      <c r="I1355" s="699">
        <f>INPUT!CI53</f>
        <v>-0.88604962936538267</v>
      </c>
      <c r="J1355" s="201" t="e">
        <f>IF(OR(L1267="compact",I1355&gt;=0),"-",IF(ABS(I1355)&lt;=B1355,"OK","NG"))</f>
        <v>#DIV/0!</v>
      </c>
      <c r="K1355" s="200" t="e">
        <f>IF(OR(L1267="compact",I1355&gt;=0),"-",B1355/ABS(I1355))</f>
        <v>#DIV/0!</v>
      </c>
      <c r="L1355" s="201" t="str">
        <f>IF(OR(L1267="compact",I1355&lt;=0),"-",IF(ABS(I1355)&lt;=C1355,"OK","NG"))</f>
        <v>-</v>
      </c>
      <c r="M1355" s="203" t="str">
        <f>IF(OR(L1267="compact",I1355&lt;=0),"-",C1355/ABS(I1355))</f>
        <v>-</v>
      </c>
      <c r="O1355" s="350"/>
    </row>
    <row r="1356">
      <c r="A1356" s="187">
        <f>A1268</f>
        <v>101</v>
      </c>
      <c r="B1356" s="191" t="e">
        <f>F1188</f>
        <v>#DIV/0!</v>
      </c>
      <c r="C1356" s="698">
        <f>G1188</f>
        <v>379.50847042889387</v>
      </c>
      <c r="D1356" s="699">
        <f>INPUT!CH54</f>
        <v>0.9348580328415943</v>
      </c>
      <c r="E1356" s="201" t="str">
        <f>IF(OR(L1268="compact",D1356&gt;=0),"-",IF(ABS(D1356)&lt;=B1356,"OK","NG"))</f>
        <v>-</v>
      </c>
      <c r="F1356" s="200" t="str">
        <f>IF(OR(L1268="compact",D1356&gt;=0),"-",B1356/ABS(D1356))</f>
        <v>-</v>
      </c>
      <c r="G1356" s="201" t="str">
        <f>IF(OR(L1268="compact",D1356&lt;=0),"-",IF(ABS(D1356)&lt;=C1356,"OK","NG"))</f>
        <v>OK</v>
      </c>
      <c r="H1356" s="200">
        <f>IF(OR(L1268="compact",D1356&lt;=0),"-",C1356/ABS(D1356))</f>
        <v>405.95305072722113</v>
      </c>
      <c r="I1356" s="699">
        <f>INPUT!CI54</f>
        <v>-0.88604962936538267</v>
      </c>
      <c r="J1356" s="201" t="e">
        <f>IF(OR(L1268="compact",I1356&gt;=0),"-",IF(ABS(I1356)&lt;=B1356,"OK","NG"))</f>
        <v>#DIV/0!</v>
      </c>
      <c r="K1356" s="200" t="e">
        <f>IF(OR(L1268="compact",I1356&gt;=0),"-",B1356/ABS(I1356))</f>
        <v>#DIV/0!</v>
      </c>
      <c r="L1356" s="201" t="str">
        <f>IF(OR(L1268="compact",I1356&lt;=0),"-",IF(ABS(I1356)&lt;=C1356,"OK","NG"))</f>
        <v>-</v>
      </c>
      <c r="M1356" s="203" t="str">
        <f>IF(OR(L1268="compact",I1356&lt;=0),"-",C1356/ABS(I1356))</f>
        <v>-</v>
      </c>
      <c r="O1356" s="350"/>
    </row>
    <row r="1357">
      <c r="A1357" s="187">
        <f>A1269</f>
        <v>101</v>
      </c>
      <c r="B1357" s="191" t="e">
        <f>F1189</f>
        <v>#DIV/0!</v>
      </c>
      <c r="C1357" s="698">
        <f>G1189</f>
        <v>379.50847042889387</v>
      </c>
      <c r="D1357" s="699">
        <f>INPUT!CH55</f>
        <v>0.9348580328415943</v>
      </c>
      <c r="E1357" s="201" t="str">
        <f>IF(OR(L1269="compact",D1357&gt;=0),"-",IF(ABS(D1357)&lt;=B1357,"OK","NG"))</f>
        <v>-</v>
      </c>
      <c r="F1357" s="200" t="str">
        <f>IF(OR(L1269="compact",D1357&gt;=0),"-",B1357/ABS(D1357))</f>
        <v>-</v>
      </c>
      <c r="G1357" s="201" t="str">
        <f>IF(OR(L1269="compact",D1357&lt;=0),"-",IF(ABS(D1357)&lt;=C1357,"OK","NG"))</f>
        <v>OK</v>
      </c>
      <c r="H1357" s="200">
        <f>IF(OR(L1269="compact",D1357&lt;=0),"-",C1357/ABS(D1357))</f>
        <v>405.95305072722113</v>
      </c>
      <c r="I1357" s="699">
        <f>INPUT!CI55</f>
        <v>-0.88604962936538267</v>
      </c>
      <c r="J1357" s="201" t="e">
        <f>IF(OR(L1269="compact",I1357&gt;=0),"-",IF(ABS(I1357)&lt;=B1357,"OK","NG"))</f>
        <v>#DIV/0!</v>
      </c>
      <c r="K1357" s="200" t="e">
        <f>IF(OR(L1269="compact",I1357&gt;=0),"-",B1357/ABS(I1357))</f>
        <v>#DIV/0!</v>
      </c>
      <c r="L1357" s="201" t="str">
        <f>IF(OR(L1269="compact",I1357&lt;=0),"-",IF(ABS(I1357)&lt;=C1357,"OK","NG"))</f>
        <v>-</v>
      </c>
      <c r="M1357" s="203" t="str">
        <f>IF(OR(L1269="compact",I1357&lt;=0),"-",C1357/ABS(I1357))</f>
        <v>-</v>
      </c>
      <c r="O1357" s="350"/>
    </row>
    <row r="1358">
      <c r="A1358" s="187">
        <f>A1270</f>
        <v>101</v>
      </c>
      <c r="B1358" s="191" t="e">
        <f>F1190</f>
        <v>#DIV/0!</v>
      </c>
      <c r="C1358" s="698">
        <f>G1190</f>
        <v>379.50847042889387</v>
      </c>
      <c r="D1358" s="699">
        <f>INPUT!CH56</f>
        <v>0.9348580328415943</v>
      </c>
      <c r="E1358" s="201" t="str">
        <f>IF(OR(L1270="compact",D1358&gt;=0),"-",IF(ABS(D1358)&lt;=B1358,"OK","NG"))</f>
        <v>-</v>
      </c>
      <c r="F1358" s="200" t="str">
        <f>IF(OR(L1270="compact",D1358&gt;=0),"-",B1358/ABS(D1358))</f>
        <v>-</v>
      </c>
      <c r="G1358" s="201" t="str">
        <f>IF(OR(L1270="compact",D1358&lt;=0),"-",IF(ABS(D1358)&lt;=C1358,"OK","NG"))</f>
        <v>OK</v>
      </c>
      <c r="H1358" s="200">
        <f>IF(OR(L1270="compact",D1358&lt;=0),"-",C1358/ABS(D1358))</f>
        <v>405.95305072722113</v>
      </c>
      <c r="I1358" s="699">
        <f>INPUT!CI56</f>
        <v>-0.88604962936538267</v>
      </c>
      <c r="J1358" s="201" t="e">
        <f>IF(OR(L1270="compact",I1358&gt;=0),"-",IF(ABS(I1358)&lt;=B1358,"OK","NG"))</f>
        <v>#DIV/0!</v>
      </c>
      <c r="K1358" s="200" t="e">
        <f>IF(OR(L1270="compact",I1358&gt;=0),"-",B1358/ABS(I1358))</f>
        <v>#DIV/0!</v>
      </c>
      <c r="L1358" s="201" t="str">
        <f>IF(OR(L1270="compact",I1358&lt;=0),"-",IF(ABS(I1358)&lt;=C1358,"OK","NG"))</f>
        <v>-</v>
      </c>
      <c r="M1358" s="203" t="str">
        <f>IF(OR(L1270="compact",I1358&lt;=0),"-",C1358/ABS(I1358))</f>
        <v>-</v>
      </c>
      <c r="O1358" s="350"/>
    </row>
    <row r="1359">
      <c r="A1359" s="187">
        <f>A1271</f>
        <v>101</v>
      </c>
      <c r="B1359" s="191" t="e">
        <f>F1191</f>
        <v>#DIV/0!</v>
      </c>
      <c r="C1359" s="698">
        <f>G1191</f>
        <v>379.50847042889387</v>
      </c>
      <c r="D1359" s="699">
        <f>INPUT!CH57</f>
        <v>0.9348580328415943</v>
      </c>
      <c r="E1359" s="201" t="str">
        <f>IF(OR(L1271="compact",D1359&gt;=0),"-",IF(ABS(D1359)&lt;=B1359,"OK","NG"))</f>
        <v>-</v>
      </c>
      <c r="F1359" s="200" t="str">
        <f>IF(OR(L1271="compact",D1359&gt;=0),"-",B1359/ABS(D1359))</f>
        <v>-</v>
      </c>
      <c r="G1359" s="201" t="str">
        <f>IF(OR(L1271="compact",D1359&lt;=0),"-",IF(ABS(D1359)&lt;=C1359,"OK","NG"))</f>
        <v>OK</v>
      </c>
      <c r="H1359" s="200">
        <f>IF(OR(L1271="compact",D1359&lt;=0),"-",C1359/ABS(D1359))</f>
        <v>405.95305072722113</v>
      </c>
      <c r="I1359" s="699">
        <f>INPUT!CI57</f>
        <v>-0.88604962936538267</v>
      </c>
      <c r="J1359" s="201" t="e">
        <f>IF(OR(L1271="compact",I1359&gt;=0),"-",IF(ABS(I1359)&lt;=B1359,"OK","NG"))</f>
        <v>#DIV/0!</v>
      </c>
      <c r="K1359" s="200" t="e">
        <f>IF(OR(L1271="compact",I1359&gt;=0),"-",B1359/ABS(I1359))</f>
        <v>#DIV/0!</v>
      </c>
      <c r="L1359" s="201" t="str">
        <f>IF(OR(L1271="compact",I1359&lt;=0),"-",IF(ABS(I1359)&lt;=C1359,"OK","NG"))</f>
        <v>-</v>
      </c>
      <c r="M1359" s="203" t="str">
        <f>IF(OR(L1271="compact",I1359&lt;=0),"-",C1359/ABS(I1359))</f>
        <v>-</v>
      </c>
      <c r="O1359" s="350"/>
    </row>
    <row r="1360">
      <c r="A1360" s="187">
        <f>A1272</f>
        <v>101</v>
      </c>
      <c r="B1360" s="191" t="e">
        <f>F1192</f>
        <v>#DIV/0!</v>
      </c>
      <c r="C1360" s="698">
        <f>G1192</f>
        <v>379.50847042889387</v>
      </c>
      <c r="D1360" s="699">
        <f>INPUT!CH58</f>
        <v>0.9348580328415943</v>
      </c>
      <c r="E1360" s="201" t="str">
        <f>IF(OR(L1272="compact",D1360&gt;=0),"-",IF(ABS(D1360)&lt;=B1360,"OK","NG"))</f>
        <v>-</v>
      </c>
      <c r="F1360" s="200" t="str">
        <f>IF(OR(L1272="compact",D1360&gt;=0),"-",B1360/ABS(D1360))</f>
        <v>-</v>
      </c>
      <c r="G1360" s="201" t="str">
        <f>IF(OR(L1272="compact",D1360&lt;=0),"-",IF(ABS(D1360)&lt;=C1360,"OK","NG"))</f>
        <v>OK</v>
      </c>
      <c r="H1360" s="200">
        <f>IF(OR(L1272="compact",D1360&lt;=0),"-",C1360/ABS(D1360))</f>
        <v>405.95305072722113</v>
      </c>
      <c r="I1360" s="699">
        <f>INPUT!CI58</f>
        <v>-0.88604962936538267</v>
      </c>
      <c r="J1360" s="201" t="e">
        <f>IF(OR(L1272="compact",I1360&gt;=0),"-",IF(ABS(I1360)&lt;=B1360,"OK","NG"))</f>
        <v>#DIV/0!</v>
      </c>
      <c r="K1360" s="200" t="e">
        <f>IF(OR(L1272="compact",I1360&gt;=0),"-",B1360/ABS(I1360))</f>
        <v>#DIV/0!</v>
      </c>
      <c r="L1360" s="201" t="str">
        <f>IF(OR(L1272="compact",I1360&lt;=0),"-",IF(ABS(I1360)&lt;=C1360,"OK","NG"))</f>
        <v>-</v>
      </c>
      <c r="M1360" s="203" t="str">
        <f>IF(OR(L1272="compact",I1360&lt;=0),"-",C1360/ABS(I1360))</f>
        <v>-</v>
      </c>
      <c r="O1360" s="350"/>
    </row>
    <row r="1361">
      <c r="A1361" s="187">
        <f>A1273</f>
        <v>101</v>
      </c>
      <c r="B1361" s="191" t="e">
        <f>F1193</f>
        <v>#DIV/0!</v>
      </c>
      <c r="C1361" s="698">
        <f>G1193</f>
        <v>379.50847042889387</v>
      </c>
      <c r="D1361" s="699">
        <f>INPUT!CH59</f>
        <v>0.9348580328415943</v>
      </c>
      <c r="E1361" s="201" t="str">
        <f>IF(OR(L1273="compact",D1361&gt;=0),"-",IF(ABS(D1361)&lt;=B1361,"OK","NG"))</f>
        <v>-</v>
      </c>
      <c r="F1361" s="200" t="str">
        <f>IF(OR(L1273="compact",D1361&gt;=0),"-",B1361/ABS(D1361))</f>
        <v>-</v>
      </c>
      <c r="G1361" s="201" t="str">
        <f>IF(OR(L1273="compact",D1361&lt;=0),"-",IF(ABS(D1361)&lt;=C1361,"OK","NG"))</f>
        <v>OK</v>
      </c>
      <c r="H1361" s="200">
        <f>IF(OR(L1273="compact",D1361&lt;=0),"-",C1361/ABS(D1361))</f>
        <v>405.95305072722113</v>
      </c>
      <c r="I1361" s="699">
        <f>INPUT!CI59</f>
        <v>-0.88604962936538267</v>
      </c>
      <c r="J1361" s="201" t="e">
        <f>IF(OR(L1273="compact",I1361&gt;=0),"-",IF(ABS(I1361)&lt;=B1361,"OK","NG"))</f>
        <v>#DIV/0!</v>
      </c>
      <c r="K1361" s="200" t="e">
        <f>IF(OR(L1273="compact",I1361&gt;=0),"-",B1361/ABS(I1361))</f>
        <v>#DIV/0!</v>
      </c>
      <c r="L1361" s="201" t="str">
        <f>IF(OR(L1273="compact",I1361&lt;=0),"-",IF(ABS(I1361)&lt;=C1361,"OK","NG"))</f>
        <v>-</v>
      </c>
      <c r="M1361" s="203" t="str">
        <f>IF(OR(L1273="compact",I1361&lt;=0),"-",C1361/ABS(I1361))</f>
        <v>-</v>
      </c>
      <c r="O1361" s="350"/>
    </row>
    <row r="1362">
      <c r="A1362" s="187">
        <f>A1274</f>
        <v>101</v>
      </c>
      <c r="B1362" s="191" t="e">
        <f>F1194</f>
        <v>#DIV/0!</v>
      </c>
      <c r="C1362" s="698">
        <f>G1194</f>
        <v>379.50847042889387</v>
      </c>
      <c r="D1362" s="699">
        <f>INPUT!CH60</f>
        <v>0.9348580328415943</v>
      </c>
      <c r="E1362" s="201" t="str">
        <f>IF(OR(L1274="compact",D1362&gt;=0),"-",IF(ABS(D1362)&lt;=B1362,"OK","NG"))</f>
        <v>-</v>
      </c>
      <c r="F1362" s="200" t="str">
        <f>IF(OR(L1274="compact",D1362&gt;=0),"-",B1362/ABS(D1362))</f>
        <v>-</v>
      </c>
      <c r="G1362" s="201" t="str">
        <f>IF(OR(L1274="compact",D1362&lt;=0),"-",IF(ABS(D1362)&lt;=C1362,"OK","NG"))</f>
        <v>OK</v>
      </c>
      <c r="H1362" s="200">
        <f>IF(OR(L1274="compact",D1362&lt;=0),"-",C1362/ABS(D1362))</f>
        <v>405.95305072722113</v>
      </c>
      <c r="I1362" s="699">
        <f>INPUT!CI60</f>
        <v>-0.88604962936538267</v>
      </c>
      <c r="J1362" s="201" t="e">
        <f>IF(OR(L1274="compact",I1362&gt;=0),"-",IF(ABS(I1362)&lt;=B1362,"OK","NG"))</f>
        <v>#DIV/0!</v>
      </c>
      <c r="K1362" s="200" t="e">
        <f>IF(OR(L1274="compact",I1362&gt;=0),"-",B1362/ABS(I1362))</f>
        <v>#DIV/0!</v>
      </c>
      <c r="L1362" s="201" t="str">
        <f>IF(OR(L1274="compact",I1362&lt;=0),"-",IF(ABS(I1362)&lt;=C1362,"OK","NG"))</f>
        <v>-</v>
      </c>
      <c r="M1362" s="203" t="str">
        <f>IF(OR(L1274="compact",I1362&lt;=0),"-",C1362/ABS(I1362))</f>
        <v>-</v>
      </c>
      <c r="O1362" s="350"/>
    </row>
    <row r="1363">
      <c r="A1363" s="187">
        <f>A1275</f>
        <v>101</v>
      </c>
      <c r="B1363" s="191" t="e">
        <f>F1195</f>
        <v>#DIV/0!</v>
      </c>
      <c r="C1363" s="698">
        <f>G1195</f>
        <v>379.50847042889387</v>
      </c>
      <c r="D1363" s="699">
        <f>INPUT!CH61</f>
        <v>0.9348580328415943</v>
      </c>
      <c r="E1363" s="201" t="str">
        <f>IF(OR(L1275="compact",D1363&gt;=0),"-",IF(ABS(D1363)&lt;=B1363,"OK","NG"))</f>
        <v>-</v>
      </c>
      <c r="F1363" s="200" t="str">
        <f>IF(OR(L1275="compact",D1363&gt;=0),"-",B1363/ABS(D1363))</f>
        <v>-</v>
      </c>
      <c r="G1363" s="201" t="str">
        <f>IF(OR(L1275="compact",D1363&lt;=0),"-",IF(ABS(D1363)&lt;=C1363,"OK","NG"))</f>
        <v>OK</v>
      </c>
      <c r="H1363" s="200">
        <f>IF(OR(L1275="compact",D1363&lt;=0),"-",C1363/ABS(D1363))</f>
        <v>405.95305072722113</v>
      </c>
      <c r="I1363" s="699">
        <f>INPUT!CI61</f>
        <v>-0.88604962936538267</v>
      </c>
      <c r="J1363" s="201" t="e">
        <f>IF(OR(L1275="compact",I1363&gt;=0),"-",IF(ABS(I1363)&lt;=B1363,"OK","NG"))</f>
        <v>#DIV/0!</v>
      </c>
      <c r="K1363" s="200" t="e">
        <f>IF(OR(L1275="compact",I1363&gt;=0),"-",B1363/ABS(I1363))</f>
        <v>#DIV/0!</v>
      </c>
      <c r="L1363" s="201" t="str">
        <f>IF(OR(L1275="compact",I1363&lt;=0),"-",IF(ABS(I1363)&lt;=C1363,"OK","NG"))</f>
        <v>-</v>
      </c>
      <c r="M1363" s="203" t="str">
        <f>IF(OR(L1275="compact",I1363&lt;=0),"-",C1363/ABS(I1363))</f>
        <v>-</v>
      </c>
      <c r="O1363" s="350"/>
    </row>
    <row r="1364">
      <c r="A1364" s="187">
        <f>A1276</f>
        <v>101</v>
      </c>
      <c r="B1364" s="191" t="e">
        <f>F1196</f>
        <v>#DIV/0!</v>
      </c>
      <c r="C1364" s="698">
        <f>G1196</f>
        <v>379.50847042889387</v>
      </c>
      <c r="D1364" s="699">
        <f>INPUT!CH62</f>
        <v>0.9348580328415943</v>
      </c>
      <c r="E1364" s="201" t="str">
        <f>IF(OR(L1276="compact",D1364&gt;=0),"-",IF(ABS(D1364)&lt;=B1364,"OK","NG"))</f>
        <v>-</v>
      </c>
      <c r="F1364" s="200" t="str">
        <f>IF(OR(L1276="compact",D1364&gt;=0),"-",B1364/ABS(D1364))</f>
        <v>-</v>
      </c>
      <c r="G1364" s="201" t="str">
        <f>IF(OR(L1276="compact",D1364&lt;=0),"-",IF(ABS(D1364)&lt;=C1364,"OK","NG"))</f>
        <v>OK</v>
      </c>
      <c r="H1364" s="200">
        <f>IF(OR(L1276="compact",D1364&lt;=0),"-",C1364/ABS(D1364))</f>
        <v>405.95305072722113</v>
      </c>
      <c r="I1364" s="699">
        <f>INPUT!CI62</f>
        <v>-0.88604962936538267</v>
      </c>
      <c r="J1364" s="201" t="e">
        <f>IF(OR(L1276="compact",I1364&gt;=0),"-",IF(ABS(I1364)&lt;=B1364,"OK","NG"))</f>
        <v>#DIV/0!</v>
      </c>
      <c r="K1364" s="200" t="e">
        <f>IF(OR(L1276="compact",I1364&gt;=0),"-",B1364/ABS(I1364))</f>
        <v>#DIV/0!</v>
      </c>
      <c r="L1364" s="201" t="str">
        <f>IF(OR(L1276="compact",I1364&lt;=0),"-",IF(ABS(I1364)&lt;=C1364,"OK","NG"))</f>
        <v>-</v>
      </c>
      <c r="M1364" s="203" t="str">
        <f>IF(OR(L1276="compact",I1364&lt;=0),"-",C1364/ABS(I1364))</f>
        <v>-</v>
      </c>
      <c r="O1364" s="350"/>
    </row>
    <row r="1365">
      <c r="A1365" s="187">
        <f>A1277</f>
        <v>101</v>
      </c>
      <c r="B1365" s="191" t="e">
        <f>F1197</f>
        <v>#DIV/0!</v>
      </c>
      <c r="C1365" s="698">
        <f>G1197</f>
        <v>379.50847042889387</v>
      </c>
      <c r="D1365" s="699">
        <f>INPUT!CH63</f>
        <v>0.9348580328415943</v>
      </c>
      <c r="E1365" s="201" t="str">
        <f>IF(OR(L1277="compact",D1365&gt;=0),"-",IF(ABS(D1365)&lt;=B1365,"OK","NG"))</f>
        <v>-</v>
      </c>
      <c r="F1365" s="200" t="str">
        <f>IF(OR(L1277="compact",D1365&gt;=0),"-",B1365/ABS(D1365))</f>
        <v>-</v>
      </c>
      <c r="G1365" s="201" t="str">
        <f>IF(OR(L1277="compact",D1365&lt;=0),"-",IF(ABS(D1365)&lt;=C1365,"OK","NG"))</f>
        <v>OK</v>
      </c>
      <c r="H1365" s="200">
        <f>IF(OR(L1277="compact",D1365&lt;=0),"-",C1365/ABS(D1365))</f>
        <v>405.95305072722113</v>
      </c>
      <c r="I1365" s="699">
        <f>INPUT!CI63</f>
        <v>-0.88604962936538267</v>
      </c>
      <c r="J1365" s="201" t="e">
        <f>IF(OR(L1277="compact",I1365&gt;=0),"-",IF(ABS(I1365)&lt;=B1365,"OK","NG"))</f>
        <v>#DIV/0!</v>
      </c>
      <c r="K1365" s="200" t="e">
        <f>IF(OR(L1277="compact",I1365&gt;=0),"-",B1365/ABS(I1365))</f>
        <v>#DIV/0!</v>
      </c>
      <c r="L1365" s="201" t="str">
        <f>IF(OR(L1277="compact",I1365&lt;=0),"-",IF(ABS(I1365)&lt;=C1365,"OK","NG"))</f>
        <v>-</v>
      </c>
      <c r="M1365" s="203" t="str">
        <f>IF(OR(L1277="compact",I1365&lt;=0),"-",C1365/ABS(I1365))</f>
        <v>-</v>
      </c>
      <c r="O1365" s="350"/>
    </row>
    <row r="1366">
      <c r="A1366" s="187">
        <f>A1278</f>
        <v>101</v>
      </c>
      <c r="B1366" s="191" t="e">
        <f>F1198</f>
        <v>#DIV/0!</v>
      </c>
      <c r="C1366" s="698">
        <f>G1198</f>
        <v>379.50847042889387</v>
      </c>
      <c r="D1366" s="699">
        <f>INPUT!CH64</f>
        <v>0.9348580328415943</v>
      </c>
      <c r="E1366" s="201" t="str">
        <f>IF(OR(L1278="compact",D1366&gt;=0),"-",IF(ABS(D1366)&lt;=B1366,"OK","NG"))</f>
        <v>-</v>
      </c>
      <c r="F1366" s="200" t="str">
        <f>IF(OR(L1278="compact",D1366&gt;=0),"-",B1366/ABS(D1366))</f>
        <v>-</v>
      </c>
      <c r="G1366" s="201" t="str">
        <f>IF(OR(L1278="compact",D1366&lt;=0),"-",IF(ABS(D1366)&lt;=C1366,"OK","NG"))</f>
        <v>OK</v>
      </c>
      <c r="H1366" s="200">
        <f>IF(OR(L1278="compact",D1366&lt;=0),"-",C1366/ABS(D1366))</f>
        <v>405.95305072722113</v>
      </c>
      <c r="I1366" s="699">
        <f>INPUT!CI64</f>
        <v>-0.88604962936538267</v>
      </c>
      <c r="J1366" s="201" t="e">
        <f>IF(OR(L1278="compact",I1366&gt;=0),"-",IF(ABS(I1366)&lt;=B1366,"OK","NG"))</f>
        <v>#DIV/0!</v>
      </c>
      <c r="K1366" s="200" t="e">
        <f>IF(OR(L1278="compact",I1366&gt;=0),"-",B1366/ABS(I1366))</f>
        <v>#DIV/0!</v>
      </c>
      <c r="L1366" s="201" t="str">
        <f>IF(OR(L1278="compact",I1366&lt;=0),"-",IF(ABS(I1366)&lt;=C1366,"OK","NG"))</f>
        <v>-</v>
      </c>
      <c r="M1366" s="203" t="str">
        <f>IF(OR(L1278="compact",I1366&lt;=0),"-",C1366/ABS(I1366))</f>
        <v>-</v>
      </c>
      <c r="O1366" s="350"/>
    </row>
    <row r="1367">
      <c r="A1367" s="187">
        <f>A1279</f>
        <v>101</v>
      </c>
      <c r="B1367" s="191" t="e">
        <f>F1199</f>
        <v>#DIV/0!</v>
      </c>
      <c r="C1367" s="698">
        <f>G1199</f>
        <v>379.50847042889387</v>
      </c>
      <c r="D1367" s="699">
        <f>INPUT!CH65</f>
        <v>0.9348580328415943</v>
      </c>
      <c r="E1367" s="201" t="str">
        <f>IF(OR(L1279="compact",D1367&gt;=0),"-",IF(ABS(D1367)&lt;=B1367,"OK","NG"))</f>
        <v>-</v>
      </c>
      <c r="F1367" s="200" t="str">
        <f>IF(OR(L1279="compact",D1367&gt;=0),"-",B1367/ABS(D1367))</f>
        <v>-</v>
      </c>
      <c r="G1367" s="201" t="str">
        <f>IF(OR(L1279="compact",D1367&lt;=0),"-",IF(ABS(D1367)&lt;=C1367,"OK","NG"))</f>
        <v>OK</v>
      </c>
      <c r="H1367" s="200">
        <f>IF(OR(L1279="compact",D1367&lt;=0),"-",C1367/ABS(D1367))</f>
        <v>405.95305072722113</v>
      </c>
      <c r="I1367" s="699">
        <f>INPUT!CI65</f>
        <v>-0.88604962936538267</v>
      </c>
      <c r="J1367" s="201" t="e">
        <f>IF(OR(L1279="compact",I1367&gt;=0),"-",IF(ABS(I1367)&lt;=B1367,"OK","NG"))</f>
        <v>#DIV/0!</v>
      </c>
      <c r="K1367" s="200" t="e">
        <f>IF(OR(L1279="compact",I1367&gt;=0),"-",B1367/ABS(I1367))</f>
        <v>#DIV/0!</v>
      </c>
      <c r="L1367" s="201" t="str">
        <f>IF(OR(L1279="compact",I1367&lt;=0),"-",IF(ABS(I1367)&lt;=C1367,"OK","NG"))</f>
        <v>-</v>
      </c>
      <c r="M1367" s="203" t="str">
        <f>IF(OR(L1279="compact",I1367&lt;=0),"-",C1367/ABS(I1367))</f>
        <v>-</v>
      </c>
      <c r="O1367" s="350"/>
    </row>
    <row r="1368">
      <c r="A1368" s="187">
        <f>A1280</f>
        <v>101</v>
      </c>
      <c r="B1368" s="191" t="e">
        <f>F1200</f>
        <v>#DIV/0!</v>
      </c>
      <c r="C1368" s="698">
        <f>G1200</f>
        <v>379.50847042889387</v>
      </c>
      <c r="D1368" s="699">
        <f>INPUT!CH66</f>
        <v>0.9348580328415943</v>
      </c>
      <c r="E1368" s="201" t="str">
        <f>IF(OR(L1280="compact",D1368&gt;=0),"-",IF(ABS(D1368)&lt;=B1368,"OK","NG"))</f>
        <v>-</v>
      </c>
      <c r="F1368" s="200" t="str">
        <f>IF(OR(L1280="compact",D1368&gt;=0),"-",B1368/ABS(D1368))</f>
        <v>-</v>
      </c>
      <c r="G1368" s="201" t="str">
        <f>IF(OR(L1280="compact",D1368&lt;=0),"-",IF(ABS(D1368)&lt;=C1368,"OK","NG"))</f>
        <v>OK</v>
      </c>
      <c r="H1368" s="200">
        <f>IF(OR(L1280="compact",D1368&lt;=0),"-",C1368/ABS(D1368))</f>
        <v>405.95305072722113</v>
      </c>
      <c r="I1368" s="699">
        <f>INPUT!CI66</f>
        <v>-0.88604962936538267</v>
      </c>
      <c r="J1368" s="201" t="e">
        <f>IF(OR(L1280="compact",I1368&gt;=0),"-",IF(ABS(I1368)&lt;=B1368,"OK","NG"))</f>
        <v>#DIV/0!</v>
      </c>
      <c r="K1368" s="200" t="e">
        <f>IF(OR(L1280="compact",I1368&gt;=0),"-",B1368/ABS(I1368))</f>
        <v>#DIV/0!</v>
      </c>
      <c r="L1368" s="201" t="str">
        <f>IF(OR(L1280="compact",I1368&lt;=0),"-",IF(ABS(I1368)&lt;=C1368,"OK","NG"))</f>
        <v>-</v>
      </c>
      <c r="M1368" s="203" t="str">
        <f>IF(OR(L1280="compact",I1368&lt;=0),"-",C1368/ABS(I1368))</f>
        <v>-</v>
      </c>
      <c r="O1368" s="350"/>
    </row>
    <row r="1369">
      <c r="A1369" s="187">
        <f>A1281</f>
        <v>101</v>
      </c>
      <c r="B1369" s="191" t="e">
        <f>F1201</f>
        <v>#DIV/0!</v>
      </c>
      <c r="C1369" s="698">
        <f>G1201</f>
        <v>379.50847042889387</v>
      </c>
      <c r="D1369" s="699">
        <f>INPUT!CH67</f>
        <v>0.9348580328415943</v>
      </c>
      <c r="E1369" s="201" t="str">
        <f>IF(OR(L1281="compact",D1369&gt;=0),"-",IF(ABS(D1369)&lt;=B1369,"OK","NG"))</f>
        <v>-</v>
      </c>
      <c r="F1369" s="200" t="str">
        <f>IF(OR(L1281="compact",D1369&gt;=0),"-",B1369/ABS(D1369))</f>
        <v>-</v>
      </c>
      <c r="G1369" s="201" t="str">
        <f>IF(OR(L1281="compact",D1369&lt;=0),"-",IF(ABS(D1369)&lt;=C1369,"OK","NG"))</f>
        <v>OK</v>
      </c>
      <c r="H1369" s="200">
        <f>IF(OR(L1281="compact",D1369&lt;=0),"-",C1369/ABS(D1369))</f>
        <v>405.95305072722113</v>
      </c>
      <c r="I1369" s="699">
        <f>INPUT!CI67</f>
        <v>-0.88604962936538267</v>
      </c>
      <c r="J1369" s="201" t="e">
        <f>IF(OR(L1281="compact",I1369&gt;=0),"-",IF(ABS(I1369)&lt;=B1369,"OK","NG"))</f>
        <v>#DIV/0!</v>
      </c>
      <c r="K1369" s="200" t="e">
        <f>IF(OR(L1281="compact",I1369&gt;=0),"-",B1369/ABS(I1369))</f>
        <v>#DIV/0!</v>
      </c>
      <c r="L1369" s="201" t="str">
        <f>IF(OR(L1281="compact",I1369&lt;=0),"-",IF(ABS(I1369)&lt;=C1369,"OK","NG"))</f>
        <v>-</v>
      </c>
      <c r="M1369" s="203" t="str">
        <f>IF(OR(L1281="compact",I1369&lt;=0),"-",C1369/ABS(I1369))</f>
        <v>-</v>
      </c>
      <c r="O1369" s="350"/>
    </row>
    <row r="1370">
      <c r="A1370" s="187">
        <f>A1282</f>
        <v>101</v>
      </c>
      <c r="B1370" s="191" t="e">
        <f>F1202</f>
        <v>#DIV/0!</v>
      </c>
      <c r="C1370" s="698">
        <f>G1202</f>
        <v>379.50847042889387</v>
      </c>
      <c r="D1370" s="699">
        <f>INPUT!CH68</f>
        <v>0.9348580328415943</v>
      </c>
      <c r="E1370" s="201" t="str">
        <f>IF(OR(L1282="compact",D1370&gt;=0),"-",IF(ABS(D1370)&lt;=B1370,"OK","NG"))</f>
        <v>-</v>
      </c>
      <c r="F1370" s="200" t="str">
        <f>IF(OR(L1282="compact",D1370&gt;=0),"-",B1370/ABS(D1370))</f>
        <v>-</v>
      </c>
      <c r="G1370" s="201" t="str">
        <f>IF(OR(L1282="compact",D1370&lt;=0),"-",IF(ABS(D1370)&lt;=C1370,"OK","NG"))</f>
        <v>OK</v>
      </c>
      <c r="H1370" s="200">
        <f>IF(OR(L1282="compact",D1370&lt;=0),"-",C1370/ABS(D1370))</f>
        <v>405.95305072722113</v>
      </c>
      <c r="I1370" s="699">
        <f>INPUT!CI68</f>
        <v>-0.88604962936538267</v>
      </c>
      <c r="J1370" s="201" t="e">
        <f>IF(OR(L1282="compact",I1370&gt;=0),"-",IF(ABS(I1370)&lt;=B1370,"OK","NG"))</f>
        <v>#DIV/0!</v>
      </c>
      <c r="K1370" s="200" t="e">
        <f>IF(OR(L1282="compact",I1370&gt;=0),"-",B1370/ABS(I1370))</f>
        <v>#DIV/0!</v>
      </c>
      <c r="L1370" s="201" t="str">
        <f>IF(OR(L1282="compact",I1370&lt;=0),"-",IF(ABS(I1370)&lt;=C1370,"OK","NG"))</f>
        <v>-</v>
      </c>
      <c r="M1370" s="203" t="str">
        <f>IF(OR(L1282="compact",I1370&lt;=0),"-",C1370/ABS(I1370))</f>
        <v>-</v>
      </c>
      <c r="O1370" s="350"/>
    </row>
    <row r="1371">
      <c r="A1371" s="187">
        <f>A1283</f>
        <v>101</v>
      </c>
      <c r="B1371" s="191" t="e">
        <f>F1203</f>
        <v>#DIV/0!</v>
      </c>
      <c r="C1371" s="698">
        <f>G1203</f>
        <v>379.50847042889387</v>
      </c>
      <c r="D1371" s="699">
        <f>INPUT!CH69</f>
        <v>0.9348580328415943</v>
      </c>
      <c r="E1371" s="201" t="str">
        <f>IF(OR(L1283="compact",D1371&gt;=0),"-",IF(ABS(D1371)&lt;=B1371,"OK","NG"))</f>
        <v>-</v>
      </c>
      <c r="F1371" s="200" t="str">
        <f>IF(OR(L1283="compact",D1371&gt;=0),"-",B1371/ABS(D1371))</f>
        <v>-</v>
      </c>
      <c r="G1371" s="201" t="str">
        <f>IF(OR(L1283="compact",D1371&lt;=0),"-",IF(ABS(D1371)&lt;=C1371,"OK","NG"))</f>
        <v>OK</v>
      </c>
      <c r="H1371" s="200">
        <f>IF(OR(L1283="compact",D1371&lt;=0),"-",C1371/ABS(D1371))</f>
        <v>405.95305072722113</v>
      </c>
      <c r="I1371" s="699">
        <f>INPUT!CI69</f>
        <v>-0.88604962936538267</v>
      </c>
      <c r="J1371" s="201" t="e">
        <f>IF(OR(L1283="compact",I1371&gt;=0),"-",IF(ABS(I1371)&lt;=B1371,"OK","NG"))</f>
        <v>#DIV/0!</v>
      </c>
      <c r="K1371" s="200" t="e">
        <f>IF(OR(L1283="compact",I1371&gt;=0),"-",B1371/ABS(I1371))</f>
        <v>#DIV/0!</v>
      </c>
      <c r="L1371" s="201" t="str">
        <f>IF(OR(L1283="compact",I1371&lt;=0),"-",IF(ABS(I1371)&lt;=C1371,"OK","NG"))</f>
        <v>-</v>
      </c>
      <c r="M1371" s="203" t="str">
        <f>IF(OR(L1283="compact",I1371&lt;=0),"-",C1371/ABS(I1371))</f>
        <v>-</v>
      </c>
      <c r="O1371" s="350"/>
    </row>
    <row r="1372">
      <c r="A1372" s="187">
        <f>A1284</f>
        <v>101</v>
      </c>
      <c r="B1372" s="191" t="e">
        <f>F1204</f>
        <v>#DIV/0!</v>
      </c>
      <c r="C1372" s="698">
        <f>G1204</f>
        <v>379.50847042889387</v>
      </c>
      <c r="D1372" s="699">
        <f>INPUT!CH70</f>
        <v>0.9348580328415943</v>
      </c>
      <c r="E1372" s="201" t="str">
        <f>IF(OR(L1284="compact",D1372&gt;=0),"-",IF(ABS(D1372)&lt;=B1372,"OK","NG"))</f>
        <v>-</v>
      </c>
      <c r="F1372" s="200" t="str">
        <f>IF(OR(L1284="compact",D1372&gt;=0),"-",B1372/ABS(D1372))</f>
        <v>-</v>
      </c>
      <c r="G1372" s="201" t="str">
        <f>IF(OR(L1284="compact",D1372&lt;=0),"-",IF(ABS(D1372)&lt;=C1372,"OK","NG"))</f>
        <v>OK</v>
      </c>
      <c r="H1372" s="200">
        <f>IF(OR(L1284="compact",D1372&lt;=0),"-",C1372/ABS(D1372))</f>
        <v>405.95305072722113</v>
      </c>
      <c r="I1372" s="699">
        <f>INPUT!CI70</f>
        <v>-0.88604962936538267</v>
      </c>
      <c r="J1372" s="201" t="e">
        <f>IF(OR(L1284="compact",I1372&gt;=0),"-",IF(ABS(I1372)&lt;=B1372,"OK","NG"))</f>
        <v>#DIV/0!</v>
      </c>
      <c r="K1372" s="200" t="e">
        <f>IF(OR(L1284="compact",I1372&gt;=0),"-",B1372/ABS(I1372))</f>
        <v>#DIV/0!</v>
      </c>
      <c r="L1372" s="201" t="str">
        <f>IF(OR(L1284="compact",I1372&lt;=0),"-",IF(ABS(I1372)&lt;=C1372,"OK","NG"))</f>
        <v>-</v>
      </c>
      <c r="M1372" s="203" t="str">
        <f>IF(OR(L1284="compact",I1372&lt;=0),"-",C1372/ABS(I1372))</f>
        <v>-</v>
      </c>
      <c r="O1372" s="350"/>
    </row>
    <row r="1373">
      <c r="A1373" s="187">
        <f>A1285</f>
        <v>101</v>
      </c>
      <c r="B1373" s="191" t="e">
        <f>F1205</f>
        <v>#DIV/0!</v>
      </c>
      <c r="C1373" s="698">
        <f>G1205</f>
        <v>379.50847042889387</v>
      </c>
      <c r="D1373" s="699">
        <f>INPUT!CH71</f>
        <v>0.9348580328415943</v>
      </c>
      <c r="E1373" s="201" t="str">
        <f>IF(OR(L1285="compact",D1373&gt;=0),"-",IF(ABS(D1373)&lt;=B1373,"OK","NG"))</f>
        <v>-</v>
      </c>
      <c r="F1373" s="200" t="str">
        <f>IF(OR(L1285="compact",D1373&gt;=0),"-",B1373/ABS(D1373))</f>
        <v>-</v>
      </c>
      <c r="G1373" s="201" t="str">
        <f>IF(OR(L1285="compact",D1373&lt;=0),"-",IF(ABS(D1373)&lt;=C1373,"OK","NG"))</f>
        <v>OK</v>
      </c>
      <c r="H1373" s="200">
        <f>IF(OR(L1285="compact",D1373&lt;=0),"-",C1373/ABS(D1373))</f>
        <v>405.95305072722113</v>
      </c>
      <c r="I1373" s="699">
        <f>INPUT!CI71</f>
        <v>-0.88604962936538267</v>
      </c>
      <c r="J1373" s="201" t="e">
        <f>IF(OR(L1285="compact",I1373&gt;=0),"-",IF(ABS(I1373)&lt;=B1373,"OK","NG"))</f>
        <v>#DIV/0!</v>
      </c>
      <c r="K1373" s="200" t="e">
        <f>IF(OR(L1285="compact",I1373&gt;=0),"-",B1373/ABS(I1373))</f>
        <v>#DIV/0!</v>
      </c>
      <c r="L1373" s="201" t="str">
        <f>IF(OR(L1285="compact",I1373&lt;=0),"-",IF(ABS(I1373)&lt;=C1373,"OK","NG"))</f>
        <v>-</v>
      </c>
      <c r="M1373" s="203" t="str">
        <f>IF(OR(L1285="compact",I1373&lt;=0),"-",C1373/ABS(I1373))</f>
        <v>-</v>
      </c>
      <c r="O1373" s="350"/>
    </row>
    <row r="1374">
      <c r="A1374" s="187">
        <f>A1286</f>
        <v>101</v>
      </c>
      <c r="B1374" s="191" t="e">
        <f>F1206</f>
        <v>#DIV/0!</v>
      </c>
      <c r="C1374" s="698">
        <f>G1206</f>
        <v>379.50847042889387</v>
      </c>
      <c r="D1374" s="699">
        <f>INPUT!CH72</f>
        <v>0.9348580328415943</v>
      </c>
      <c r="E1374" s="201" t="str">
        <f>IF(OR(L1286="compact",D1374&gt;=0),"-",IF(ABS(D1374)&lt;=B1374,"OK","NG"))</f>
        <v>-</v>
      </c>
      <c r="F1374" s="200" t="str">
        <f>IF(OR(L1286="compact",D1374&gt;=0),"-",B1374/ABS(D1374))</f>
        <v>-</v>
      </c>
      <c r="G1374" s="201" t="str">
        <f>IF(OR(L1286="compact",D1374&lt;=0),"-",IF(ABS(D1374)&lt;=C1374,"OK","NG"))</f>
        <v>OK</v>
      </c>
      <c r="H1374" s="200">
        <f>IF(OR(L1286="compact",D1374&lt;=0),"-",C1374/ABS(D1374))</f>
        <v>405.95305072722113</v>
      </c>
      <c r="I1374" s="699">
        <f>INPUT!CI72</f>
        <v>-0.88604962936538267</v>
      </c>
      <c r="J1374" s="201" t="e">
        <f>IF(OR(L1286="compact",I1374&gt;=0),"-",IF(ABS(I1374)&lt;=B1374,"OK","NG"))</f>
        <v>#DIV/0!</v>
      </c>
      <c r="K1374" s="200" t="e">
        <f>IF(OR(L1286="compact",I1374&gt;=0),"-",B1374/ABS(I1374))</f>
        <v>#DIV/0!</v>
      </c>
      <c r="L1374" s="201" t="str">
        <f>IF(OR(L1286="compact",I1374&lt;=0),"-",IF(ABS(I1374)&lt;=C1374,"OK","NG"))</f>
        <v>-</v>
      </c>
      <c r="M1374" s="203" t="str">
        <f>IF(OR(L1286="compact",I1374&lt;=0),"-",C1374/ABS(I1374))</f>
        <v>-</v>
      </c>
      <c r="O1374" s="350"/>
    </row>
    <row r="1375">
      <c r="A1375" s="187">
        <f>A1287</f>
        <v>101</v>
      </c>
      <c r="B1375" s="191" t="e">
        <f>F1207</f>
        <v>#DIV/0!</v>
      </c>
      <c r="C1375" s="698">
        <f>G1207</f>
        <v>379.50847042889387</v>
      </c>
      <c r="D1375" s="699">
        <f>INPUT!CH73</f>
        <v>0.9348580328415943</v>
      </c>
      <c r="E1375" s="201" t="str">
        <f>IF(OR(L1287="compact",D1375&gt;=0),"-",IF(ABS(D1375)&lt;=B1375,"OK","NG"))</f>
        <v>-</v>
      </c>
      <c r="F1375" s="200" t="str">
        <f>IF(OR(L1287="compact",D1375&gt;=0),"-",B1375/ABS(D1375))</f>
        <v>-</v>
      </c>
      <c r="G1375" s="201" t="str">
        <f>IF(OR(L1287="compact",D1375&lt;=0),"-",IF(ABS(D1375)&lt;=C1375,"OK","NG"))</f>
        <v>OK</v>
      </c>
      <c r="H1375" s="200">
        <f>IF(OR(L1287="compact",D1375&lt;=0),"-",C1375/ABS(D1375))</f>
        <v>405.95305072722113</v>
      </c>
      <c r="I1375" s="699">
        <f>INPUT!CI73</f>
        <v>-0.88604962936538267</v>
      </c>
      <c r="J1375" s="201" t="e">
        <f>IF(OR(L1287="compact",I1375&gt;=0),"-",IF(ABS(I1375)&lt;=B1375,"OK","NG"))</f>
        <v>#DIV/0!</v>
      </c>
      <c r="K1375" s="200" t="e">
        <f>IF(OR(L1287="compact",I1375&gt;=0),"-",B1375/ABS(I1375))</f>
        <v>#DIV/0!</v>
      </c>
      <c r="L1375" s="201" t="str">
        <f>IF(OR(L1287="compact",I1375&lt;=0),"-",IF(ABS(I1375)&lt;=C1375,"OK","NG"))</f>
        <v>-</v>
      </c>
      <c r="M1375" s="203" t="str">
        <f>IF(OR(L1287="compact",I1375&lt;=0),"-",C1375/ABS(I1375))</f>
        <v>-</v>
      </c>
      <c r="O1375" s="350"/>
    </row>
    <row r="1376">
      <c r="A1376" s="187">
        <f>A1288</f>
        <v>101</v>
      </c>
      <c r="B1376" s="191" t="e">
        <f>F1208</f>
        <v>#DIV/0!</v>
      </c>
      <c r="C1376" s="698">
        <f>G1208</f>
        <v>379.50847042889387</v>
      </c>
      <c r="D1376" s="699">
        <f>INPUT!CH74</f>
        <v>0.9348580328415943</v>
      </c>
      <c r="E1376" s="201" t="str">
        <f>IF(OR(L1288="compact",D1376&gt;=0),"-",IF(ABS(D1376)&lt;=B1376,"OK","NG"))</f>
        <v>-</v>
      </c>
      <c r="F1376" s="200" t="str">
        <f>IF(OR(L1288="compact",D1376&gt;=0),"-",B1376/ABS(D1376))</f>
        <v>-</v>
      </c>
      <c r="G1376" s="201" t="str">
        <f>IF(OR(L1288="compact",D1376&lt;=0),"-",IF(ABS(D1376)&lt;=C1376,"OK","NG"))</f>
        <v>OK</v>
      </c>
      <c r="H1376" s="200">
        <f>IF(OR(L1288="compact",D1376&lt;=0),"-",C1376/ABS(D1376))</f>
        <v>405.95305072722113</v>
      </c>
      <c r="I1376" s="699">
        <f>INPUT!CI74</f>
        <v>-0.88604962936538267</v>
      </c>
      <c r="J1376" s="201" t="e">
        <f>IF(OR(L1288="compact",I1376&gt;=0),"-",IF(ABS(I1376)&lt;=B1376,"OK","NG"))</f>
        <v>#DIV/0!</v>
      </c>
      <c r="K1376" s="200" t="e">
        <f>IF(OR(L1288="compact",I1376&gt;=0),"-",B1376/ABS(I1376))</f>
        <v>#DIV/0!</v>
      </c>
      <c r="L1376" s="201" t="str">
        <f>IF(OR(L1288="compact",I1376&lt;=0),"-",IF(ABS(I1376)&lt;=C1376,"OK","NG"))</f>
        <v>-</v>
      </c>
      <c r="M1376" s="203" t="str">
        <f>IF(OR(L1288="compact",I1376&lt;=0),"-",C1376/ABS(I1376))</f>
        <v>-</v>
      </c>
      <c r="O1376" s="350"/>
    </row>
    <row r="1377">
      <c r="A1377" s="187">
        <f>A1289</f>
        <v>101</v>
      </c>
      <c r="B1377" s="191" t="e">
        <f>F1209</f>
        <v>#DIV/0!</v>
      </c>
      <c r="C1377" s="698">
        <f>G1209</f>
        <v>379.50847042889387</v>
      </c>
      <c r="D1377" s="699">
        <f>INPUT!CH75</f>
        <v>0.9348580328415943</v>
      </c>
      <c r="E1377" s="201" t="str">
        <f>IF(OR(L1289="compact",D1377&gt;=0),"-",IF(ABS(D1377)&lt;=B1377,"OK","NG"))</f>
        <v>-</v>
      </c>
      <c r="F1377" s="200" t="str">
        <f>IF(OR(L1289="compact",D1377&gt;=0),"-",B1377/ABS(D1377))</f>
        <v>-</v>
      </c>
      <c r="G1377" s="201" t="str">
        <f>IF(OR(L1289="compact",D1377&lt;=0),"-",IF(ABS(D1377)&lt;=C1377,"OK","NG"))</f>
        <v>OK</v>
      </c>
      <c r="H1377" s="200">
        <f>IF(OR(L1289="compact",D1377&lt;=0),"-",C1377/ABS(D1377))</f>
        <v>405.95305072722113</v>
      </c>
      <c r="I1377" s="699">
        <f>INPUT!CI75</f>
        <v>-0.88604962936538267</v>
      </c>
      <c r="J1377" s="201" t="e">
        <f>IF(OR(L1289="compact",I1377&gt;=0),"-",IF(ABS(I1377)&lt;=B1377,"OK","NG"))</f>
        <v>#DIV/0!</v>
      </c>
      <c r="K1377" s="200" t="e">
        <f>IF(OR(L1289="compact",I1377&gt;=0),"-",B1377/ABS(I1377))</f>
        <v>#DIV/0!</v>
      </c>
      <c r="L1377" s="201" t="str">
        <f>IF(OR(L1289="compact",I1377&lt;=0),"-",IF(ABS(I1377)&lt;=C1377,"OK","NG"))</f>
        <v>-</v>
      </c>
      <c r="M1377" s="203" t="str">
        <f>IF(OR(L1289="compact",I1377&lt;=0),"-",C1377/ABS(I1377))</f>
        <v>-</v>
      </c>
      <c r="O1377" s="350"/>
    </row>
    <row r="1378">
      <c r="A1378" s="187">
        <f>A1290</f>
        <v>101</v>
      </c>
      <c r="B1378" s="191" t="e">
        <f>F1210</f>
        <v>#DIV/0!</v>
      </c>
      <c r="C1378" s="698">
        <f>G1210</f>
        <v>379.50847042889387</v>
      </c>
      <c r="D1378" s="699">
        <f>INPUT!CH76</f>
        <v>0.9348580328415943</v>
      </c>
      <c r="E1378" s="201" t="str">
        <f>IF(OR(L1290="compact",D1378&gt;=0),"-",IF(ABS(D1378)&lt;=B1378,"OK","NG"))</f>
        <v>-</v>
      </c>
      <c r="F1378" s="200" t="str">
        <f>IF(OR(L1290="compact",D1378&gt;=0),"-",B1378/ABS(D1378))</f>
        <v>-</v>
      </c>
      <c r="G1378" s="201" t="str">
        <f>IF(OR(L1290="compact",D1378&lt;=0),"-",IF(ABS(D1378)&lt;=C1378,"OK","NG"))</f>
        <v>OK</v>
      </c>
      <c r="H1378" s="200">
        <f>IF(OR(L1290="compact",D1378&lt;=0),"-",C1378/ABS(D1378))</f>
        <v>405.95305072722113</v>
      </c>
      <c r="I1378" s="699">
        <f>INPUT!CI76</f>
        <v>-0.88604962936538267</v>
      </c>
      <c r="J1378" s="201" t="e">
        <f>IF(OR(L1290="compact",I1378&gt;=0),"-",IF(ABS(I1378)&lt;=B1378,"OK","NG"))</f>
        <v>#DIV/0!</v>
      </c>
      <c r="K1378" s="200" t="e">
        <f>IF(OR(L1290="compact",I1378&gt;=0),"-",B1378/ABS(I1378))</f>
        <v>#DIV/0!</v>
      </c>
      <c r="L1378" s="201" t="str">
        <f>IF(OR(L1290="compact",I1378&lt;=0),"-",IF(ABS(I1378)&lt;=C1378,"OK","NG"))</f>
        <v>-</v>
      </c>
      <c r="M1378" s="203" t="str">
        <f>IF(OR(L1290="compact",I1378&lt;=0),"-",C1378/ABS(I1378))</f>
        <v>-</v>
      </c>
      <c r="O1378" s="350"/>
    </row>
    <row r="1379">
      <c r="A1379" s="187">
        <f>A1291</f>
        <v>101</v>
      </c>
      <c r="B1379" s="191" t="e">
        <f>F1211</f>
        <v>#DIV/0!</v>
      </c>
      <c r="C1379" s="698">
        <f>G1211</f>
        <v>379.50847042889387</v>
      </c>
      <c r="D1379" s="699">
        <f>INPUT!CH77</f>
        <v>0.9348580328415943</v>
      </c>
      <c r="E1379" s="201" t="str">
        <f>IF(OR(L1291="compact",D1379&gt;=0),"-",IF(ABS(D1379)&lt;=B1379,"OK","NG"))</f>
        <v>-</v>
      </c>
      <c r="F1379" s="200" t="str">
        <f>IF(OR(L1291="compact",D1379&gt;=0),"-",B1379/ABS(D1379))</f>
        <v>-</v>
      </c>
      <c r="G1379" s="201" t="str">
        <f>IF(OR(L1291="compact",D1379&lt;=0),"-",IF(ABS(D1379)&lt;=C1379,"OK","NG"))</f>
        <v>OK</v>
      </c>
      <c r="H1379" s="200">
        <f>IF(OR(L1291="compact",D1379&lt;=0),"-",C1379/ABS(D1379))</f>
        <v>405.95305072722113</v>
      </c>
      <c r="I1379" s="699">
        <f>INPUT!CI77</f>
        <v>-0.88604962936538267</v>
      </c>
      <c r="J1379" s="201" t="e">
        <f>IF(OR(L1291="compact",I1379&gt;=0),"-",IF(ABS(I1379)&lt;=B1379,"OK","NG"))</f>
        <v>#DIV/0!</v>
      </c>
      <c r="K1379" s="200" t="e">
        <f>IF(OR(L1291="compact",I1379&gt;=0),"-",B1379/ABS(I1379))</f>
        <v>#DIV/0!</v>
      </c>
      <c r="L1379" s="201" t="str">
        <f>IF(OR(L1291="compact",I1379&lt;=0),"-",IF(ABS(I1379)&lt;=C1379,"OK","NG"))</f>
        <v>-</v>
      </c>
      <c r="M1379" s="203" t="str">
        <f>IF(OR(L1291="compact",I1379&lt;=0),"-",C1379/ABS(I1379))</f>
        <v>-</v>
      </c>
      <c r="O1379" s="350"/>
    </row>
    <row r="1380">
      <c r="A1380" s="187">
        <f>A1292</f>
        <v>101</v>
      </c>
      <c r="B1380" s="191" t="e">
        <f>F1212</f>
        <v>#DIV/0!</v>
      </c>
      <c r="C1380" s="698">
        <f>G1212</f>
        <v>379.50847042889387</v>
      </c>
      <c r="D1380" s="699">
        <f>INPUT!CH78</f>
        <v>0.9348580328415943</v>
      </c>
      <c r="E1380" s="201" t="str">
        <f>IF(OR(L1292="compact",D1380&gt;=0),"-",IF(ABS(D1380)&lt;=B1380,"OK","NG"))</f>
        <v>-</v>
      </c>
      <c r="F1380" s="200" t="str">
        <f>IF(OR(L1292="compact",D1380&gt;=0),"-",B1380/ABS(D1380))</f>
        <v>-</v>
      </c>
      <c r="G1380" s="201" t="str">
        <f>IF(OR(L1292="compact",D1380&lt;=0),"-",IF(ABS(D1380)&lt;=C1380,"OK","NG"))</f>
        <v>OK</v>
      </c>
      <c r="H1380" s="200">
        <f>IF(OR(L1292="compact",D1380&lt;=0),"-",C1380/ABS(D1380))</f>
        <v>405.95305072722113</v>
      </c>
      <c r="I1380" s="699">
        <f>INPUT!CI78</f>
        <v>-0.88604962936538267</v>
      </c>
      <c r="J1380" s="201" t="e">
        <f>IF(OR(L1292="compact",I1380&gt;=0),"-",IF(ABS(I1380)&lt;=B1380,"OK","NG"))</f>
        <v>#DIV/0!</v>
      </c>
      <c r="K1380" s="200" t="e">
        <f>IF(OR(L1292="compact",I1380&gt;=0),"-",B1380/ABS(I1380))</f>
        <v>#DIV/0!</v>
      </c>
      <c r="L1380" s="201" t="str">
        <f>IF(OR(L1292="compact",I1380&lt;=0),"-",IF(ABS(I1380)&lt;=C1380,"OK","NG"))</f>
        <v>-</v>
      </c>
      <c r="M1380" s="203" t="str">
        <f>IF(OR(L1292="compact",I1380&lt;=0),"-",C1380/ABS(I1380))</f>
        <v>-</v>
      </c>
      <c r="O1380" s="350"/>
    </row>
    <row r="1381" ht="15" customHeight="1" s="4" customFormat="1">
      <c r="A1381" s="207"/>
      <c r="B1381" s="207"/>
      <c r="C1381" s="312"/>
      <c r="D1381" s="312"/>
      <c r="E1381" s="312"/>
      <c r="F1381" s="312"/>
      <c r="G1381" s="312"/>
      <c r="H1381" s="312"/>
      <c r="I1381" s="312"/>
      <c r="J1381" s="312"/>
      <c r="K1381" s="133"/>
      <c r="L1381" s="133"/>
      <c r="M1381" s="312"/>
      <c r="N1381" s="312"/>
      <c r="O1381" s="350"/>
      <c r="P1381" s="64"/>
      <c r="T1381" s="300"/>
      <c r="U1381" s="312"/>
      <c r="V1381" s="312"/>
      <c r="W1381" s="312"/>
      <c r="Z1381" s="207"/>
      <c r="AB1381" s="207"/>
      <c r="AE1381" s="207"/>
    </row>
    <row r="1382" ht="15" customHeight="1" s="4" customFormat="1">
      <c r="A1382" s="333" t="s">
        <v>961</v>
      </c>
      <c r="B1382" s="451"/>
      <c r="C1382" s="312"/>
      <c r="D1382" s="312"/>
      <c r="E1382" s="312"/>
      <c r="F1382" s="312"/>
      <c r="G1382" s="312"/>
      <c r="H1382" s="312"/>
      <c r="I1382" s="312"/>
      <c r="J1382" s="312"/>
      <c r="K1382" s="133"/>
      <c r="L1382" s="133"/>
      <c r="M1382" s="312"/>
      <c r="N1382" s="312"/>
      <c r="O1382" s="350"/>
      <c r="P1382" s="367"/>
      <c r="Q1382" s="312"/>
      <c r="R1382" s="312"/>
      <c r="S1382" s="300"/>
      <c r="T1382" s="300"/>
      <c r="U1382" s="312"/>
      <c r="V1382" s="312"/>
      <c r="W1382" s="312"/>
      <c r="X1382" s="312"/>
      <c r="Y1382" s="312"/>
      <c r="Z1382" s="312"/>
      <c r="AB1382" s="451"/>
      <c r="AE1382" s="451"/>
    </row>
    <row r="1383" ht="15" customHeight="1" s="4" customFormat="1">
      <c r="A1383" s="135" t="s">
        <v>230</v>
      </c>
      <c r="B1383" s="478" t="s">
        <v>962</v>
      </c>
      <c r="C1383" s="479" t="s">
        <v>963</v>
      </c>
      <c r="D1383" s="602" t="s">
        <v>964</v>
      </c>
      <c r="E1383" s="590"/>
      <c r="O1383" s="350"/>
    </row>
    <row r="1384" ht="15" customHeight="1" s="4" customFormat="1">
      <c r="A1384" s="136"/>
      <c r="B1384" s="453"/>
      <c r="C1384" s="453"/>
      <c r="D1384" s="277"/>
      <c r="E1384" s="341"/>
      <c r="O1384" s="350"/>
    </row>
    <row r="1385" ht="15" customHeight="1">
      <c r="A1385" s="187">
        <f>A1305</f>
        <v>101</v>
      </c>
      <c r="B1385" s="191">
        <f>1.25*(INPUT!BE3+INPUT!BF3+INPUT!BG3+INPUT!BM3)+1.5*INPUT!BN3+1.8*IF(B1217="Positive",INPUT!BO3,INPUT!BP3)</f>
        <v>-91.5686973403021</v>
      </c>
      <c r="C1385" s="191">
        <f>L1137</f>
        <v>33716.251777731406</v>
      </c>
      <c r="D1385" s="201" t="str">
        <f>IF(L1217="compact",IF(ABS(B1385)&lt;=C1385,"OK","NG"),"-")</f>
        <v>-</v>
      </c>
      <c r="E1385" s="203" t="str">
        <f>IF(L1217="compact",C1385/ABS(B1385),"-")</f>
        <v>-</v>
      </c>
      <c r="G1385" s="366"/>
      <c r="H1385" s="366"/>
      <c r="O1385" s="350"/>
    </row>
    <row r="1386">
      <c r="A1386" s="187">
        <f>A1306</f>
        <v>101</v>
      </c>
      <c r="B1386" s="191">
        <f>1.25*(INPUT!BE4+INPUT!BF4+INPUT!BG4+INPUT!BM4)+1.5*INPUT!BN4+1.8*IF(B1218="Positive",INPUT!BO4,INPUT!BP4)</f>
        <v>-91.5686973403021</v>
      </c>
      <c r="C1386" s="191">
        <f>L1138</f>
        <v>33716.251777731406</v>
      </c>
      <c r="D1386" s="201" t="str">
        <f>IF(L1218="compact",IF(ABS(B1386)&lt;=C1386,"OK","NG"),"-")</f>
        <v>-</v>
      </c>
      <c r="E1386" s="203" t="str">
        <f>IF(L1218="compact",C1386/ABS(B1386),"-")</f>
        <v>-</v>
      </c>
      <c r="G1386" s="366"/>
      <c r="H1386" s="366"/>
      <c r="O1386" s="350"/>
    </row>
    <row r="1387">
      <c r="A1387" s="187">
        <f>A1307</f>
        <v>101</v>
      </c>
      <c r="B1387" s="191">
        <f>1.25*(INPUT!BE5+INPUT!BF5+INPUT!BG5+INPUT!BM5)+1.5*INPUT!BN5+1.8*IF(B1219="Positive",INPUT!BO5,INPUT!BP5)</f>
        <v>-91.5686973403021</v>
      </c>
      <c r="C1387" s="191">
        <f>L1139</f>
        <v>33716.251777731406</v>
      </c>
      <c r="D1387" s="201" t="str">
        <f>IF(L1219="compact",IF(ABS(B1387)&lt;=C1387,"OK","NG"),"-")</f>
        <v>-</v>
      </c>
      <c r="E1387" s="203" t="str">
        <f>IF(L1219="compact",C1387/ABS(B1387),"-")</f>
        <v>-</v>
      </c>
      <c r="G1387" s="366"/>
      <c r="H1387" s="366"/>
      <c r="O1387" s="350"/>
    </row>
    <row r="1388">
      <c r="A1388" s="187">
        <f>A1308</f>
        <v>101</v>
      </c>
      <c r="B1388" s="191">
        <f>1.25*(INPUT!BE6+INPUT!BF6+INPUT!BG6+INPUT!BM6)+1.5*INPUT!BN6+1.8*IF(B1220="Positive",INPUT!BO6,INPUT!BP6)</f>
        <v>-91.5686973403021</v>
      </c>
      <c r="C1388" s="191">
        <f>L1140</f>
        <v>33716.251777731406</v>
      </c>
      <c r="D1388" s="201" t="str">
        <f>IF(L1220="compact",IF(ABS(B1388)&lt;=C1388,"OK","NG"),"-")</f>
        <v>-</v>
      </c>
      <c r="E1388" s="203" t="str">
        <f>IF(L1220="compact",C1388/ABS(B1388),"-")</f>
        <v>-</v>
      </c>
      <c r="G1388" s="366"/>
      <c r="H1388" s="366"/>
      <c r="O1388" s="350"/>
    </row>
    <row r="1389">
      <c r="A1389" s="187">
        <f>A1309</f>
        <v>101</v>
      </c>
      <c r="B1389" s="191">
        <f>1.25*(INPUT!BE7+INPUT!BF7+INPUT!BG7+INPUT!BM7)+1.5*INPUT!BN7+1.8*IF(B1221="Positive",INPUT!BO7,INPUT!BP7)</f>
        <v>-91.5686973403021</v>
      </c>
      <c r="C1389" s="191">
        <f>L1141</f>
        <v>33716.251777731406</v>
      </c>
      <c r="D1389" s="201" t="str">
        <f>IF(L1221="compact",IF(ABS(B1389)&lt;=C1389,"OK","NG"),"-")</f>
        <v>-</v>
      </c>
      <c r="E1389" s="203" t="str">
        <f>IF(L1221="compact",C1389/ABS(B1389),"-")</f>
        <v>-</v>
      </c>
      <c r="G1389" s="366"/>
      <c r="H1389" s="366"/>
      <c r="O1389" s="350"/>
    </row>
    <row r="1390">
      <c r="A1390" s="187">
        <f>A1310</f>
        <v>101</v>
      </c>
      <c r="B1390" s="191">
        <f>1.25*(INPUT!BE8+INPUT!BF8+INPUT!BG8+INPUT!BM8)+1.5*INPUT!BN8+1.8*IF(B1222="Positive",INPUT!BO8,INPUT!BP8)</f>
        <v>-91.5686973403021</v>
      </c>
      <c r="C1390" s="191">
        <f>L1142</f>
        <v>33716.251777731406</v>
      </c>
      <c r="D1390" s="201" t="str">
        <f>IF(L1222="compact",IF(ABS(B1390)&lt;=C1390,"OK","NG"),"-")</f>
        <v>-</v>
      </c>
      <c r="E1390" s="203" t="str">
        <f>IF(L1222="compact",C1390/ABS(B1390),"-")</f>
        <v>-</v>
      </c>
      <c r="G1390" s="366"/>
      <c r="H1390" s="366"/>
      <c r="O1390" s="350"/>
    </row>
    <row r="1391">
      <c r="A1391" s="187">
        <f>A1311</f>
        <v>101</v>
      </c>
      <c r="B1391" s="191">
        <f>1.25*(INPUT!BE9+INPUT!BF9+INPUT!BG9+INPUT!BM9)+1.5*INPUT!BN9+1.8*IF(B1223="Positive",INPUT!BO9,INPUT!BP9)</f>
        <v>-91.5686973403021</v>
      </c>
      <c r="C1391" s="191">
        <f>L1143</f>
        <v>33716.251777731406</v>
      </c>
      <c r="D1391" s="201" t="str">
        <f>IF(L1223="compact",IF(ABS(B1391)&lt;=C1391,"OK","NG"),"-")</f>
        <v>-</v>
      </c>
      <c r="E1391" s="203" t="str">
        <f>IF(L1223="compact",C1391/ABS(B1391),"-")</f>
        <v>-</v>
      </c>
      <c r="G1391" s="366"/>
      <c r="H1391" s="366"/>
      <c r="O1391" s="350"/>
    </row>
    <row r="1392">
      <c r="A1392" s="187">
        <f>A1312</f>
        <v>101</v>
      </c>
      <c r="B1392" s="191">
        <f>1.25*(INPUT!BE10+INPUT!BF10+INPUT!BG10+INPUT!BM10)+1.5*INPUT!BN10+1.8*IF(B1224="Positive",INPUT!BO10,INPUT!BP10)</f>
        <v>-91.5686973403021</v>
      </c>
      <c r="C1392" s="191">
        <f>L1144</f>
        <v>33716.251777731406</v>
      </c>
      <c r="D1392" s="201" t="str">
        <f>IF(L1224="compact",IF(ABS(B1392)&lt;=C1392,"OK","NG"),"-")</f>
        <v>-</v>
      </c>
      <c r="E1392" s="203" t="str">
        <f>IF(L1224="compact",C1392/ABS(B1392),"-")</f>
        <v>-</v>
      </c>
      <c r="G1392" s="366"/>
      <c r="H1392" s="366"/>
      <c r="O1392" s="350"/>
    </row>
    <row r="1393">
      <c r="A1393" s="187">
        <f>A1313</f>
        <v>101</v>
      </c>
      <c r="B1393" s="191">
        <f>1.25*(INPUT!BE11+INPUT!BF11+INPUT!BG11+INPUT!BM11)+1.5*INPUT!BN11+1.8*IF(B1225="Positive",INPUT!BO11,INPUT!BP11)</f>
        <v>-91.5686973403021</v>
      </c>
      <c r="C1393" s="191">
        <f>L1145</f>
        <v>33716.251777731406</v>
      </c>
      <c r="D1393" s="201" t="str">
        <f>IF(L1225="compact",IF(ABS(B1393)&lt;=C1393,"OK","NG"),"-")</f>
        <v>-</v>
      </c>
      <c r="E1393" s="203" t="str">
        <f>IF(L1225="compact",C1393/ABS(B1393),"-")</f>
        <v>-</v>
      </c>
      <c r="G1393" s="366"/>
      <c r="H1393" s="366"/>
      <c r="O1393" s="350"/>
    </row>
    <row r="1394">
      <c r="A1394" s="187">
        <f>A1314</f>
        <v>101</v>
      </c>
      <c r="B1394" s="191">
        <f>1.25*(INPUT!BE12+INPUT!BF12+INPUT!BG12+INPUT!BM12)+1.5*INPUT!BN12+1.8*IF(B1226="Positive",INPUT!BO12,INPUT!BP12)</f>
        <v>-91.5686973403021</v>
      </c>
      <c r="C1394" s="191">
        <f>L1146</f>
        <v>33716.251777731406</v>
      </c>
      <c r="D1394" s="201" t="str">
        <f>IF(L1226="compact",IF(ABS(B1394)&lt;=C1394,"OK","NG"),"-")</f>
        <v>-</v>
      </c>
      <c r="E1394" s="203" t="str">
        <f>IF(L1226="compact",C1394/ABS(B1394),"-")</f>
        <v>-</v>
      </c>
      <c r="G1394" s="366"/>
      <c r="H1394" s="366"/>
      <c r="O1394" s="350"/>
    </row>
    <row r="1395">
      <c r="A1395" s="187">
        <f>A1315</f>
        <v>101</v>
      </c>
      <c r="B1395" s="191">
        <f>1.25*(INPUT!BE13+INPUT!BF13+INPUT!BG13+INPUT!BM13)+1.5*INPUT!BN13+1.8*IF(B1227="Positive",INPUT!BO13,INPUT!BP13)</f>
        <v>-91.5686973403021</v>
      </c>
      <c r="C1395" s="191">
        <f>L1147</f>
        <v>33716.251777731406</v>
      </c>
      <c r="D1395" s="201" t="str">
        <f>IF(L1227="compact",IF(ABS(B1395)&lt;=C1395,"OK","NG"),"-")</f>
        <v>-</v>
      </c>
      <c r="E1395" s="203" t="str">
        <f>IF(L1227="compact",C1395/ABS(B1395),"-")</f>
        <v>-</v>
      </c>
      <c r="G1395" s="366"/>
      <c r="H1395" s="366"/>
      <c r="O1395" s="350"/>
    </row>
    <row r="1396">
      <c r="A1396" s="187">
        <f>A1316</f>
        <v>101</v>
      </c>
      <c r="B1396" s="191">
        <f>1.25*(INPUT!BE14+INPUT!BF14+INPUT!BG14+INPUT!BM14)+1.5*INPUT!BN14+1.8*IF(B1228="Positive",INPUT!BO14,INPUT!BP14)</f>
        <v>-91.5686973403021</v>
      </c>
      <c r="C1396" s="191">
        <f>L1148</f>
        <v>33716.251777731406</v>
      </c>
      <c r="D1396" s="201" t="str">
        <f>IF(L1228="compact",IF(ABS(B1396)&lt;=C1396,"OK","NG"),"-")</f>
        <v>-</v>
      </c>
      <c r="E1396" s="203" t="str">
        <f>IF(L1228="compact",C1396/ABS(B1396),"-")</f>
        <v>-</v>
      </c>
      <c r="G1396" s="366"/>
      <c r="H1396" s="366"/>
      <c r="O1396" s="350"/>
    </row>
    <row r="1397">
      <c r="A1397" s="187">
        <f>A1317</f>
        <v>101</v>
      </c>
      <c r="B1397" s="191">
        <f>1.25*(INPUT!BE15+INPUT!BF15+INPUT!BG15+INPUT!BM15)+1.5*INPUT!BN15+1.8*IF(B1229="Positive",INPUT!BO15,INPUT!BP15)</f>
        <v>-91.5686973403021</v>
      </c>
      <c r="C1397" s="191">
        <f>L1149</f>
        <v>33716.251777731406</v>
      </c>
      <c r="D1397" s="201" t="str">
        <f>IF(L1229="compact",IF(ABS(B1397)&lt;=C1397,"OK","NG"),"-")</f>
        <v>-</v>
      </c>
      <c r="E1397" s="203" t="str">
        <f>IF(L1229="compact",C1397/ABS(B1397),"-")</f>
        <v>-</v>
      </c>
      <c r="G1397" s="366"/>
      <c r="H1397" s="366"/>
      <c r="O1397" s="350"/>
    </row>
    <row r="1398">
      <c r="A1398" s="187">
        <f>A1318</f>
        <v>101</v>
      </c>
      <c r="B1398" s="191">
        <f>1.25*(INPUT!BE16+INPUT!BF16+INPUT!BG16+INPUT!BM16)+1.5*INPUT!BN16+1.8*IF(B1230="Positive",INPUT!BO16,INPUT!BP16)</f>
        <v>-91.5686973403021</v>
      </c>
      <c r="C1398" s="191">
        <f>L1150</f>
        <v>33716.251777731406</v>
      </c>
      <c r="D1398" s="201" t="str">
        <f>IF(L1230="compact",IF(ABS(B1398)&lt;=C1398,"OK","NG"),"-")</f>
        <v>-</v>
      </c>
      <c r="E1398" s="203" t="str">
        <f>IF(L1230="compact",C1398/ABS(B1398),"-")</f>
        <v>-</v>
      </c>
      <c r="G1398" s="366"/>
      <c r="H1398" s="366"/>
      <c r="O1398" s="350"/>
    </row>
    <row r="1399">
      <c r="A1399" s="187">
        <f>A1319</f>
        <v>101</v>
      </c>
      <c r="B1399" s="191">
        <f>1.25*(INPUT!BE17+INPUT!BF17+INPUT!BG17+INPUT!BM17)+1.5*INPUT!BN17+1.8*IF(B1231="Positive",INPUT!BO17,INPUT!BP17)</f>
        <v>-91.5686973403021</v>
      </c>
      <c r="C1399" s="191">
        <f>L1151</f>
        <v>33716.251777731406</v>
      </c>
      <c r="D1399" s="201" t="str">
        <f>IF(L1231="compact",IF(ABS(B1399)&lt;=C1399,"OK","NG"),"-")</f>
        <v>-</v>
      </c>
      <c r="E1399" s="203" t="str">
        <f>IF(L1231="compact",C1399/ABS(B1399),"-")</f>
        <v>-</v>
      </c>
      <c r="G1399" s="366"/>
      <c r="H1399" s="366"/>
      <c r="O1399" s="350"/>
    </row>
    <row r="1400">
      <c r="A1400" s="187">
        <f>A1320</f>
        <v>101</v>
      </c>
      <c r="B1400" s="191">
        <f>1.25*(INPUT!BE18+INPUT!BF18+INPUT!BG18+INPUT!BM18)+1.5*INPUT!BN18+1.8*IF(B1232="Positive",INPUT!BO18,INPUT!BP18)</f>
        <v>-91.5686973403021</v>
      </c>
      <c r="C1400" s="191">
        <f>L1152</f>
        <v>33716.251777731406</v>
      </c>
      <c r="D1400" s="201" t="str">
        <f>IF(L1232="compact",IF(ABS(B1400)&lt;=C1400,"OK","NG"),"-")</f>
        <v>-</v>
      </c>
      <c r="E1400" s="203" t="str">
        <f>IF(L1232="compact",C1400/ABS(B1400),"-")</f>
        <v>-</v>
      </c>
      <c r="G1400" s="366"/>
      <c r="H1400" s="366"/>
      <c r="O1400" s="350"/>
    </row>
    <row r="1401">
      <c r="A1401" s="187">
        <f>A1321</f>
        <v>101</v>
      </c>
      <c r="B1401" s="191">
        <f>1.25*(INPUT!BE19+INPUT!BF19+INPUT!BG19+INPUT!BM19)+1.5*INPUT!BN19+1.8*IF(B1233="Positive",INPUT!BO19,INPUT!BP19)</f>
        <v>-91.5686973403021</v>
      </c>
      <c r="C1401" s="191">
        <f>L1153</f>
        <v>33716.251777731406</v>
      </c>
      <c r="D1401" s="201" t="str">
        <f>IF(L1233="compact",IF(ABS(B1401)&lt;=C1401,"OK","NG"),"-")</f>
        <v>-</v>
      </c>
      <c r="E1401" s="203" t="str">
        <f>IF(L1233="compact",C1401/ABS(B1401),"-")</f>
        <v>-</v>
      </c>
      <c r="G1401" s="366"/>
      <c r="H1401" s="366"/>
      <c r="O1401" s="350"/>
    </row>
    <row r="1402">
      <c r="A1402" s="187">
        <f>A1322</f>
        <v>101</v>
      </c>
      <c r="B1402" s="191">
        <f>1.25*(INPUT!BE20+INPUT!BF20+INPUT!BG20+INPUT!BM20)+1.5*INPUT!BN20+1.8*IF(B1234="Positive",INPUT!BO20,INPUT!BP20)</f>
        <v>-91.5686973403021</v>
      </c>
      <c r="C1402" s="191">
        <f>L1154</f>
        <v>33716.251777731406</v>
      </c>
      <c r="D1402" s="201" t="str">
        <f>IF(L1234="compact",IF(ABS(B1402)&lt;=C1402,"OK","NG"),"-")</f>
        <v>-</v>
      </c>
      <c r="E1402" s="203" t="str">
        <f>IF(L1234="compact",C1402/ABS(B1402),"-")</f>
        <v>-</v>
      </c>
      <c r="G1402" s="366"/>
      <c r="H1402" s="366"/>
      <c r="O1402" s="350"/>
    </row>
    <row r="1403">
      <c r="A1403" s="187">
        <f>A1323</f>
        <v>101</v>
      </c>
      <c r="B1403" s="191">
        <f>1.25*(INPUT!BE21+INPUT!BF21+INPUT!BG21+INPUT!BM21)+1.5*INPUT!BN21+1.8*IF(B1235="Positive",INPUT!BO21,INPUT!BP21)</f>
        <v>-91.5686973403021</v>
      </c>
      <c r="C1403" s="191">
        <f>L1155</f>
        <v>33716.251777731406</v>
      </c>
      <c r="D1403" s="201" t="str">
        <f>IF(L1235="compact",IF(ABS(B1403)&lt;=C1403,"OK","NG"),"-")</f>
        <v>-</v>
      </c>
      <c r="E1403" s="203" t="str">
        <f>IF(L1235="compact",C1403/ABS(B1403),"-")</f>
        <v>-</v>
      </c>
      <c r="G1403" s="366"/>
      <c r="H1403" s="366"/>
      <c r="O1403" s="350"/>
    </row>
    <row r="1404">
      <c r="A1404" s="187">
        <f>A1324</f>
        <v>101</v>
      </c>
      <c r="B1404" s="191">
        <f>1.25*(INPUT!BE22+INPUT!BF22+INPUT!BG22+INPUT!BM22)+1.5*INPUT!BN22+1.8*IF(B1236="Positive",INPUT!BO22,INPUT!BP22)</f>
        <v>-91.5686973403021</v>
      </c>
      <c r="C1404" s="191">
        <f>L1156</f>
        <v>33716.251777731406</v>
      </c>
      <c r="D1404" s="201" t="str">
        <f>IF(L1236="compact",IF(ABS(B1404)&lt;=C1404,"OK","NG"),"-")</f>
        <v>-</v>
      </c>
      <c r="E1404" s="203" t="str">
        <f>IF(L1236="compact",C1404/ABS(B1404),"-")</f>
        <v>-</v>
      </c>
      <c r="G1404" s="366"/>
      <c r="H1404" s="366"/>
      <c r="O1404" s="350"/>
    </row>
    <row r="1405">
      <c r="A1405" s="187">
        <f>A1325</f>
        <v>101</v>
      </c>
      <c r="B1405" s="191">
        <f>1.25*(INPUT!BE23+INPUT!BF23+INPUT!BG23+INPUT!BM23)+1.5*INPUT!BN23+1.8*IF(B1237="Positive",INPUT!BO23,INPUT!BP23)</f>
        <v>-91.5686973403021</v>
      </c>
      <c r="C1405" s="191">
        <f>L1157</f>
        <v>33716.251777731406</v>
      </c>
      <c r="D1405" s="201" t="str">
        <f>IF(L1237="compact",IF(ABS(B1405)&lt;=C1405,"OK","NG"),"-")</f>
        <v>-</v>
      </c>
      <c r="E1405" s="203" t="str">
        <f>IF(L1237="compact",C1405/ABS(B1405),"-")</f>
        <v>-</v>
      </c>
      <c r="G1405" s="366"/>
      <c r="H1405" s="366"/>
      <c r="O1405" s="350"/>
    </row>
    <row r="1406">
      <c r="A1406" s="187">
        <f>A1326</f>
        <v>101</v>
      </c>
      <c r="B1406" s="191">
        <f>1.25*(INPUT!BE24+INPUT!BF24+INPUT!BG24+INPUT!BM24)+1.5*INPUT!BN24+1.8*IF(B1238="Positive",INPUT!BO24,INPUT!BP24)</f>
        <v>-91.5686973403021</v>
      </c>
      <c r="C1406" s="191">
        <f>L1158</f>
        <v>33716.251777731406</v>
      </c>
      <c r="D1406" s="201" t="str">
        <f>IF(L1238="compact",IF(ABS(B1406)&lt;=C1406,"OK","NG"),"-")</f>
        <v>-</v>
      </c>
      <c r="E1406" s="203" t="str">
        <f>IF(L1238="compact",C1406/ABS(B1406),"-")</f>
        <v>-</v>
      </c>
      <c r="G1406" s="366"/>
      <c r="H1406" s="366"/>
      <c r="O1406" s="350"/>
    </row>
    <row r="1407">
      <c r="A1407" s="187">
        <f>A1327</f>
        <v>101</v>
      </c>
      <c r="B1407" s="191">
        <f>1.25*(INPUT!BE25+INPUT!BF25+INPUT!BG25+INPUT!BM25)+1.5*INPUT!BN25+1.8*IF(B1239="Positive",INPUT!BO25,INPUT!BP25)</f>
        <v>-91.5686973403021</v>
      </c>
      <c r="C1407" s="191">
        <f>L1159</f>
        <v>33716.251777731406</v>
      </c>
      <c r="D1407" s="201" t="str">
        <f>IF(L1239="compact",IF(ABS(B1407)&lt;=C1407,"OK","NG"),"-")</f>
        <v>-</v>
      </c>
      <c r="E1407" s="203" t="str">
        <f>IF(L1239="compact",C1407/ABS(B1407),"-")</f>
        <v>-</v>
      </c>
      <c r="G1407" s="366"/>
      <c r="H1407" s="366"/>
      <c r="O1407" s="350"/>
    </row>
    <row r="1408">
      <c r="A1408" s="187">
        <f>A1328</f>
        <v>101</v>
      </c>
      <c r="B1408" s="191">
        <f>1.25*(INPUT!BE26+INPUT!BF26+INPUT!BG26+INPUT!BM26)+1.5*INPUT!BN26+1.8*IF(B1240="Positive",INPUT!BO26,INPUT!BP26)</f>
        <v>-91.5686973403021</v>
      </c>
      <c r="C1408" s="191">
        <f>L1160</f>
        <v>33716.251777731406</v>
      </c>
      <c r="D1408" s="201" t="str">
        <f>IF(L1240="compact",IF(ABS(B1408)&lt;=C1408,"OK","NG"),"-")</f>
        <v>-</v>
      </c>
      <c r="E1408" s="203" t="str">
        <f>IF(L1240="compact",C1408/ABS(B1408),"-")</f>
        <v>-</v>
      </c>
      <c r="G1408" s="366"/>
      <c r="H1408" s="366"/>
      <c r="O1408" s="350"/>
    </row>
    <row r="1409">
      <c r="A1409" s="187">
        <f>A1329</f>
        <v>101</v>
      </c>
      <c r="B1409" s="191">
        <f>1.25*(INPUT!BE27+INPUT!BF27+INPUT!BG27+INPUT!BM27)+1.5*INPUT!BN27+1.8*IF(B1241="Positive",INPUT!BO27,INPUT!BP27)</f>
        <v>-91.5686973403021</v>
      </c>
      <c r="C1409" s="191">
        <f>L1161</f>
        <v>33716.251777731406</v>
      </c>
      <c r="D1409" s="201" t="str">
        <f>IF(L1241="compact",IF(ABS(B1409)&lt;=C1409,"OK","NG"),"-")</f>
        <v>-</v>
      </c>
      <c r="E1409" s="203" t="str">
        <f>IF(L1241="compact",C1409/ABS(B1409),"-")</f>
        <v>-</v>
      </c>
      <c r="G1409" s="366"/>
      <c r="H1409" s="366"/>
      <c r="O1409" s="350"/>
    </row>
    <row r="1410">
      <c r="A1410" s="187">
        <f>A1330</f>
        <v>101</v>
      </c>
      <c r="B1410" s="191">
        <f>1.25*(INPUT!BE28+INPUT!BF28+INPUT!BG28+INPUT!BM28)+1.5*INPUT!BN28+1.8*IF(B1242="Positive",INPUT!BO28,INPUT!BP28)</f>
        <v>-91.5686973403021</v>
      </c>
      <c r="C1410" s="191">
        <f>L1162</f>
        <v>33716.251777731406</v>
      </c>
      <c r="D1410" s="201" t="str">
        <f>IF(L1242="compact",IF(ABS(B1410)&lt;=C1410,"OK","NG"),"-")</f>
        <v>-</v>
      </c>
      <c r="E1410" s="203" t="str">
        <f>IF(L1242="compact",C1410/ABS(B1410),"-")</f>
        <v>-</v>
      </c>
      <c r="G1410" s="366"/>
      <c r="H1410" s="366"/>
      <c r="O1410" s="350"/>
    </row>
    <row r="1411">
      <c r="A1411" s="187">
        <f>A1331</f>
        <v>101</v>
      </c>
      <c r="B1411" s="191">
        <f>1.25*(INPUT!BE29+INPUT!BF29+INPUT!BG29+INPUT!BM29)+1.5*INPUT!BN29+1.8*IF(B1243="Positive",INPUT!BO29,INPUT!BP29)</f>
        <v>-91.5686973403021</v>
      </c>
      <c r="C1411" s="191">
        <f>L1163</f>
        <v>33716.251777731406</v>
      </c>
      <c r="D1411" s="201" t="str">
        <f>IF(L1243="compact",IF(ABS(B1411)&lt;=C1411,"OK","NG"),"-")</f>
        <v>-</v>
      </c>
      <c r="E1411" s="203" t="str">
        <f>IF(L1243="compact",C1411/ABS(B1411),"-")</f>
        <v>-</v>
      </c>
      <c r="G1411" s="366"/>
      <c r="H1411" s="366"/>
      <c r="O1411" s="350"/>
    </row>
    <row r="1412">
      <c r="A1412" s="187">
        <f>A1332</f>
        <v>101</v>
      </c>
      <c r="B1412" s="191">
        <f>1.25*(INPUT!BE30+INPUT!BF30+INPUT!BG30+INPUT!BM30)+1.5*INPUT!BN30+1.8*IF(B1244="Positive",INPUT!BO30,INPUT!BP30)</f>
        <v>-91.5686973403021</v>
      </c>
      <c r="C1412" s="191">
        <f>L1164</f>
        <v>33716.251777731406</v>
      </c>
      <c r="D1412" s="201" t="str">
        <f>IF(L1244="compact",IF(ABS(B1412)&lt;=C1412,"OK","NG"),"-")</f>
        <v>-</v>
      </c>
      <c r="E1412" s="203" t="str">
        <f>IF(L1244="compact",C1412/ABS(B1412),"-")</f>
        <v>-</v>
      </c>
      <c r="G1412" s="366"/>
      <c r="H1412" s="366"/>
      <c r="O1412" s="350"/>
    </row>
    <row r="1413">
      <c r="A1413" s="187">
        <f>A1333</f>
        <v>101</v>
      </c>
      <c r="B1413" s="191">
        <f>1.25*(INPUT!BE31+INPUT!BF31+INPUT!BG31+INPUT!BM31)+1.5*INPUT!BN31+1.8*IF(B1245="Positive",INPUT!BO31,INPUT!BP31)</f>
        <v>-91.5686973403021</v>
      </c>
      <c r="C1413" s="191">
        <f>L1165</f>
        <v>33716.251777731406</v>
      </c>
      <c r="D1413" s="201" t="str">
        <f>IF(L1245="compact",IF(ABS(B1413)&lt;=C1413,"OK","NG"),"-")</f>
        <v>-</v>
      </c>
      <c r="E1413" s="203" t="str">
        <f>IF(L1245="compact",C1413/ABS(B1413),"-")</f>
        <v>-</v>
      </c>
      <c r="G1413" s="366"/>
      <c r="H1413" s="366"/>
      <c r="O1413" s="350"/>
    </row>
    <row r="1414">
      <c r="A1414" s="187">
        <f>A1334</f>
        <v>101</v>
      </c>
      <c r="B1414" s="191">
        <f>1.25*(INPUT!BE32+INPUT!BF32+INPUT!BG32+INPUT!BM32)+1.5*INPUT!BN32+1.8*IF(B1246="Positive",INPUT!BO32,INPUT!BP32)</f>
        <v>-91.5686973403021</v>
      </c>
      <c r="C1414" s="191">
        <f>L1166</f>
        <v>33716.251777731406</v>
      </c>
      <c r="D1414" s="201" t="str">
        <f>IF(L1246="compact",IF(ABS(B1414)&lt;=C1414,"OK","NG"),"-")</f>
        <v>-</v>
      </c>
      <c r="E1414" s="203" t="str">
        <f>IF(L1246="compact",C1414/ABS(B1414),"-")</f>
        <v>-</v>
      </c>
      <c r="G1414" s="366"/>
      <c r="H1414" s="366"/>
      <c r="O1414" s="350"/>
    </row>
    <row r="1415">
      <c r="A1415" s="187">
        <f>A1335</f>
        <v>101</v>
      </c>
      <c r="B1415" s="191">
        <f>1.25*(INPUT!BE33+INPUT!BF33+INPUT!BG33+INPUT!BM33)+1.5*INPUT!BN33+1.8*IF(B1247="Positive",INPUT!BO33,INPUT!BP33)</f>
        <v>-91.5686973403021</v>
      </c>
      <c r="C1415" s="191">
        <f>L1167</f>
        <v>33716.251777731406</v>
      </c>
      <c r="D1415" s="201" t="str">
        <f>IF(L1247="compact",IF(ABS(B1415)&lt;=C1415,"OK","NG"),"-")</f>
        <v>-</v>
      </c>
      <c r="E1415" s="203" t="str">
        <f>IF(L1247="compact",C1415/ABS(B1415),"-")</f>
        <v>-</v>
      </c>
      <c r="G1415" s="366"/>
      <c r="H1415" s="366"/>
      <c r="O1415" s="350"/>
    </row>
    <row r="1416">
      <c r="A1416" s="187">
        <f>A1336</f>
        <v>101</v>
      </c>
      <c r="B1416" s="191">
        <f>1.25*(INPUT!BE34+INPUT!BF34+INPUT!BG34+INPUT!BM34)+1.5*INPUT!BN34+1.8*IF(B1248="Positive",INPUT!BO34,INPUT!BP34)</f>
        <v>-91.5686973403021</v>
      </c>
      <c r="C1416" s="191">
        <f>L1168</f>
        <v>33716.251777731406</v>
      </c>
      <c r="D1416" s="201" t="str">
        <f>IF(L1248="compact",IF(ABS(B1416)&lt;=C1416,"OK","NG"),"-")</f>
        <v>-</v>
      </c>
      <c r="E1416" s="203" t="str">
        <f>IF(L1248="compact",C1416/ABS(B1416),"-")</f>
        <v>-</v>
      </c>
      <c r="G1416" s="366"/>
      <c r="H1416" s="366"/>
      <c r="O1416" s="350"/>
    </row>
    <row r="1417">
      <c r="A1417" s="187">
        <f>A1337</f>
        <v>101</v>
      </c>
      <c r="B1417" s="191">
        <f>1.25*(INPUT!BE35+INPUT!BF35+INPUT!BG35+INPUT!BM35)+1.5*INPUT!BN35+1.8*IF(B1249="Positive",INPUT!BO35,INPUT!BP35)</f>
        <v>-91.5686973403021</v>
      </c>
      <c r="C1417" s="191">
        <f>L1169</f>
        <v>33716.251777731406</v>
      </c>
      <c r="D1417" s="201" t="str">
        <f>IF(L1249="compact",IF(ABS(B1417)&lt;=C1417,"OK","NG"),"-")</f>
        <v>-</v>
      </c>
      <c r="E1417" s="203" t="str">
        <f>IF(L1249="compact",C1417/ABS(B1417),"-")</f>
        <v>-</v>
      </c>
      <c r="G1417" s="366"/>
      <c r="H1417" s="366"/>
      <c r="O1417" s="350"/>
    </row>
    <row r="1418">
      <c r="A1418" s="187">
        <f>A1338</f>
        <v>101</v>
      </c>
      <c r="B1418" s="191">
        <f>1.25*(INPUT!BE36+INPUT!BF36+INPUT!BG36+INPUT!BM36)+1.5*INPUT!BN36+1.8*IF(B1250="Positive",INPUT!BO36,INPUT!BP36)</f>
        <v>-91.5686973403021</v>
      </c>
      <c r="C1418" s="191">
        <f>L1170</f>
        <v>33716.251777731406</v>
      </c>
      <c r="D1418" s="201" t="str">
        <f>IF(L1250="compact",IF(ABS(B1418)&lt;=C1418,"OK","NG"),"-")</f>
        <v>-</v>
      </c>
      <c r="E1418" s="203" t="str">
        <f>IF(L1250="compact",C1418/ABS(B1418),"-")</f>
        <v>-</v>
      </c>
      <c r="G1418" s="366"/>
      <c r="H1418" s="366"/>
      <c r="O1418" s="350"/>
    </row>
    <row r="1419">
      <c r="A1419" s="187">
        <f>A1339</f>
        <v>101</v>
      </c>
      <c r="B1419" s="191">
        <f>1.25*(INPUT!BE37+INPUT!BF37+INPUT!BG37+INPUT!BM37)+1.5*INPUT!BN37+1.8*IF(B1251="Positive",INPUT!BO37,INPUT!BP37)</f>
        <v>-91.5686973403021</v>
      </c>
      <c r="C1419" s="191">
        <f>L1171</f>
        <v>33716.251777731406</v>
      </c>
      <c r="D1419" s="201" t="str">
        <f>IF(L1251="compact",IF(ABS(B1419)&lt;=C1419,"OK","NG"),"-")</f>
        <v>-</v>
      </c>
      <c r="E1419" s="203" t="str">
        <f>IF(L1251="compact",C1419/ABS(B1419),"-")</f>
        <v>-</v>
      </c>
      <c r="G1419" s="366"/>
      <c r="H1419" s="366"/>
      <c r="O1419" s="350"/>
    </row>
    <row r="1420">
      <c r="A1420" s="187">
        <f>A1340</f>
        <v>101</v>
      </c>
      <c r="B1420" s="191">
        <f>1.25*(INPUT!BE38+INPUT!BF38+INPUT!BG38+INPUT!BM38)+1.5*INPUT!BN38+1.8*IF(B1252="Positive",INPUT!BO38,INPUT!BP38)</f>
        <v>-91.5686973403021</v>
      </c>
      <c r="C1420" s="191">
        <f>L1172</f>
        <v>33716.251777731406</v>
      </c>
      <c r="D1420" s="201" t="str">
        <f>IF(L1252="compact",IF(ABS(B1420)&lt;=C1420,"OK","NG"),"-")</f>
        <v>-</v>
      </c>
      <c r="E1420" s="203" t="str">
        <f>IF(L1252="compact",C1420/ABS(B1420),"-")</f>
        <v>-</v>
      </c>
      <c r="G1420" s="366"/>
      <c r="H1420" s="366"/>
      <c r="O1420" s="350"/>
    </row>
    <row r="1421">
      <c r="A1421" s="187">
        <f>A1341</f>
        <v>101</v>
      </c>
      <c r="B1421" s="191">
        <f>1.25*(INPUT!BE39+INPUT!BF39+INPUT!BG39+INPUT!BM39)+1.5*INPUT!BN39+1.8*IF(B1253="Positive",INPUT!BO39,INPUT!BP39)</f>
        <v>-91.5686973403021</v>
      </c>
      <c r="C1421" s="191">
        <f>L1173</f>
        <v>33716.251777731406</v>
      </c>
      <c r="D1421" s="201" t="str">
        <f>IF(L1253="compact",IF(ABS(B1421)&lt;=C1421,"OK","NG"),"-")</f>
        <v>-</v>
      </c>
      <c r="E1421" s="203" t="str">
        <f>IF(L1253="compact",C1421/ABS(B1421),"-")</f>
        <v>-</v>
      </c>
      <c r="G1421" s="366"/>
      <c r="H1421" s="366"/>
      <c r="O1421" s="350"/>
    </row>
    <row r="1422">
      <c r="A1422" s="187">
        <f>A1342</f>
        <v>101</v>
      </c>
      <c r="B1422" s="191">
        <f>1.25*(INPUT!BE40+INPUT!BF40+INPUT!BG40+INPUT!BM40)+1.5*INPUT!BN40+1.8*IF(B1254="Positive",INPUT!BO40,INPUT!BP40)</f>
        <v>-91.5686973403021</v>
      </c>
      <c r="C1422" s="191">
        <f>L1174</f>
        <v>33716.251777731406</v>
      </c>
      <c r="D1422" s="201" t="str">
        <f>IF(L1254="compact",IF(ABS(B1422)&lt;=C1422,"OK","NG"),"-")</f>
        <v>-</v>
      </c>
      <c r="E1422" s="203" t="str">
        <f>IF(L1254="compact",C1422/ABS(B1422),"-")</f>
        <v>-</v>
      </c>
      <c r="G1422" s="366"/>
      <c r="H1422" s="366"/>
      <c r="O1422" s="350"/>
    </row>
    <row r="1423">
      <c r="A1423" s="187">
        <f>A1343</f>
        <v>101</v>
      </c>
      <c r="B1423" s="191">
        <f>1.25*(INPUT!BE41+INPUT!BF41+INPUT!BG41+INPUT!BM41)+1.5*INPUT!BN41+1.8*IF(B1255="Positive",INPUT!BO41,INPUT!BP41)</f>
        <v>-91.5686973403021</v>
      </c>
      <c r="C1423" s="191">
        <f>L1175</f>
        <v>33716.251777731406</v>
      </c>
      <c r="D1423" s="201" t="str">
        <f>IF(L1255="compact",IF(ABS(B1423)&lt;=C1423,"OK","NG"),"-")</f>
        <v>-</v>
      </c>
      <c r="E1423" s="203" t="str">
        <f>IF(L1255="compact",C1423/ABS(B1423),"-")</f>
        <v>-</v>
      </c>
      <c r="G1423" s="366"/>
      <c r="H1423" s="366"/>
      <c r="O1423" s="350"/>
    </row>
    <row r="1424">
      <c r="A1424" s="187">
        <f>A1344</f>
        <v>101</v>
      </c>
      <c r="B1424" s="191">
        <f>1.25*(INPUT!BE42+INPUT!BF42+INPUT!BG42+INPUT!BM42)+1.5*INPUT!BN42+1.8*IF(B1256="Positive",INPUT!BO42,INPUT!BP42)</f>
        <v>-91.5686973403021</v>
      </c>
      <c r="C1424" s="191">
        <f>L1176</f>
        <v>33716.251777731406</v>
      </c>
      <c r="D1424" s="201" t="str">
        <f>IF(L1256="compact",IF(ABS(B1424)&lt;=C1424,"OK","NG"),"-")</f>
        <v>-</v>
      </c>
      <c r="E1424" s="203" t="str">
        <f>IF(L1256="compact",C1424/ABS(B1424),"-")</f>
        <v>-</v>
      </c>
      <c r="G1424" s="366"/>
      <c r="H1424" s="366"/>
      <c r="O1424" s="350"/>
    </row>
    <row r="1425">
      <c r="A1425" s="187">
        <f>A1345</f>
        <v>101</v>
      </c>
      <c r="B1425" s="191">
        <f>1.25*(INPUT!BE43+INPUT!BF43+INPUT!BG43+INPUT!BM43)+1.5*INPUT!BN43+1.8*IF(B1257="Positive",INPUT!BO43,INPUT!BP43)</f>
        <v>-91.5686973403021</v>
      </c>
      <c r="C1425" s="191">
        <f>L1177</f>
        <v>33716.251777731406</v>
      </c>
      <c r="D1425" s="201" t="str">
        <f>IF(L1257="compact",IF(ABS(B1425)&lt;=C1425,"OK","NG"),"-")</f>
        <v>-</v>
      </c>
      <c r="E1425" s="203" t="str">
        <f>IF(L1257="compact",C1425/ABS(B1425),"-")</f>
        <v>-</v>
      </c>
      <c r="G1425" s="366"/>
      <c r="H1425" s="366"/>
      <c r="O1425" s="350"/>
    </row>
    <row r="1426">
      <c r="A1426" s="187">
        <f>A1346</f>
        <v>101</v>
      </c>
      <c r="B1426" s="191">
        <f>1.25*(INPUT!BE44+INPUT!BF44+INPUT!BG44+INPUT!BM44)+1.5*INPUT!BN44+1.8*IF(B1258="Positive",INPUT!BO44,INPUT!BP44)</f>
        <v>-91.5686973403021</v>
      </c>
      <c r="C1426" s="191">
        <f>L1178</f>
        <v>33716.251777731406</v>
      </c>
      <c r="D1426" s="201" t="str">
        <f>IF(L1258="compact",IF(ABS(B1426)&lt;=C1426,"OK","NG"),"-")</f>
        <v>-</v>
      </c>
      <c r="E1426" s="203" t="str">
        <f>IF(L1258="compact",C1426/ABS(B1426),"-")</f>
        <v>-</v>
      </c>
      <c r="G1426" s="366"/>
      <c r="H1426" s="366"/>
      <c r="O1426" s="350"/>
    </row>
    <row r="1427">
      <c r="A1427" s="187">
        <f>A1347</f>
        <v>101</v>
      </c>
      <c r="B1427" s="191">
        <f>1.25*(INPUT!BE45+INPUT!BF45+INPUT!BG45+INPUT!BM45)+1.5*INPUT!BN45+1.8*IF(B1259="Positive",INPUT!BO45,INPUT!BP45)</f>
        <v>-91.5686973403021</v>
      </c>
      <c r="C1427" s="191">
        <f>L1179</f>
        <v>33716.251777731406</v>
      </c>
      <c r="D1427" s="201" t="str">
        <f>IF(L1259="compact",IF(ABS(B1427)&lt;=C1427,"OK","NG"),"-")</f>
        <v>-</v>
      </c>
      <c r="E1427" s="203" t="str">
        <f>IF(L1259="compact",C1427/ABS(B1427),"-")</f>
        <v>-</v>
      </c>
      <c r="G1427" s="366"/>
      <c r="H1427" s="366"/>
      <c r="O1427" s="350"/>
    </row>
    <row r="1428">
      <c r="A1428" s="187">
        <f>A1348</f>
        <v>101</v>
      </c>
      <c r="B1428" s="191">
        <f>1.25*(INPUT!BE46+INPUT!BF46+INPUT!BG46+INPUT!BM46)+1.5*INPUT!BN46+1.8*IF(B1260="Positive",INPUT!BO46,INPUT!BP46)</f>
        <v>-91.5686973403021</v>
      </c>
      <c r="C1428" s="191">
        <f>L1180</f>
        <v>33716.251777731406</v>
      </c>
      <c r="D1428" s="201" t="str">
        <f>IF(L1260="compact",IF(ABS(B1428)&lt;=C1428,"OK","NG"),"-")</f>
        <v>-</v>
      </c>
      <c r="E1428" s="203" t="str">
        <f>IF(L1260="compact",C1428/ABS(B1428),"-")</f>
        <v>-</v>
      </c>
      <c r="G1428" s="366"/>
      <c r="H1428" s="366"/>
      <c r="O1428" s="350"/>
    </row>
    <row r="1429">
      <c r="A1429" s="187">
        <f>A1349</f>
        <v>101</v>
      </c>
      <c r="B1429" s="191">
        <f>1.25*(INPUT!BE47+INPUT!BF47+INPUT!BG47+INPUT!BM47)+1.5*INPUT!BN47+1.8*IF(B1261="Positive",INPUT!BO47,INPUT!BP47)</f>
        <v>-91.5686973403021</v>
      </c>
      <c r="C1429" s="191">
        <f>L1181</f>
        <v>33716.251777731406</v>
      </c>
      <c r="D1429" s="201" t="str">
        <f>IF(L1261="compact",IF(ABS(B1429)&lt;=C1429,"OK","NG"),"-")</f>
        <v>-</v>
      </c>
      <c r="E1429" s="203" t="str">
        <f>IF(L1261="compact",C1429/ABS(B1429),"-")</f>
        <v>-</v>
      </c>
      <c r="G1429" s="366"/>
      <c r="H1429" s="366"/>
      <c r="O1429" s="350"/>
    </row>
    <row r="1430">
      <c r="A1430" s="187">
        <f>A1350</f>
        <v>101</v>
      </c>
      <c r="B1430" s="191">
        <f>1.25*(INPUT!BE48+INPUT!BF48+INPUT!BG48+INPUT!BM48)+1.5*INPUT!BN48+1.8*IF(B1262="Positive",INPUT!BO48,INPUT!BP48)</f>
        <v>-91.5686973403021</v>
      </c>
      <c r="C1430" s="191">
        <f>L1182</f>
        <v>33716.251777731406</v>
      </c>
      <c r="D1430" s="201" t="str">
        <f>IF(L1262="compact",IF(ABS(B1430)&lt;=C1430,"OK","NG"),"-")</f>
        <v>-</v>
      </c>
      <c r="E1430" s="203" t="str">
        <f>IF(L1262="compact",C1430/ABS(B1430),"-")</f>
        <v>-</v>
      </c>
      <c r="G1430" s="366"/>
      <c r="H1430" s="366"/>
      <c r="O1430" s="350"/>
    </row>
    <row r="1431">
      <c r="A1431" s="187">
        <f>A1351</f>
        <v>101</v>
      </c>
      <c r="B1431" s="191">
        <f>1.25*(INPUT!BE49+INPUT!BF49+INPUT!BG49+INPUT!BM49)+1.5*INPUT!BN49+1.8*IF(B1263="Positive",INPUT!BO49,INPUT!BP49)</f>
        <v>-91.5686973403021</v>
      </c>
      <c r="C1431" s="191">
        <f>L1183</f>
        <v>33716.251777731406</v>
      </c>
      <c r="D1431" s="201" t="str">
        <f>IF(L1263="compact",IF(ABS(B1431)&lt;=C1431,"OK","NG"),"-")</f>
        <v>-</v>
      </c>
      <c r="E1431" s="203" t="str">
        <f>IF(L1263="compact",C1431/ABS(B1431),"-")</f>
        <v>-</v>
      </c>
      <c r="G1431" s="366"/>
      <c r="H1431" s="366"/>
      <c r="O1431" s="350"/>
    </row>
    <row r="1432">
      <c r="A1432" s="187">
        <f>A1352</f>
        <v>101</v>
      </c>
      <c r="B1432" s="191">
        <f>1.25*(INPUT!BE50+INPUT!BF50+INPUT!BG50+INPUT!BM50)+1.5*INPUT!BN50+1.8*IF(B1264="Positive",INPUT!BO50,INPUT!BP50)</f>
        <v>-91.5686973403021</v>
      </c>
      <c r="C1432" s="191">
        <f>L1184</f>
        <v>33716.251777731406</v>
      </c>
      <c r="D1432" s="201" t="str">
        <f>IF(L1264="compact",IF(ABS(B1432)&lt;=C1432,"OK","NG"),"-")</f>
        <v>-</v>
      </c>
      <c r="E1432" s="203" t="str">
        <f>IF(L1264="compact",C1432/ABS(B1432),"-")</f>
        <v>-</v>
      </c>
      <c r="G1432" s="366"/>
      <c r="H1432" s="366"/>
      <c r="O1432" s="350"/>
    </row>
    <row r="1433">
      <c r="A1433" s="187">
        <f>A1353</f>
        <v>101</v>
      </c>
      <c r="B1433" s="191">
        <f>1.25*(INPUT!BE51+INPUT!BF51+INPUT!BG51+INPUT!BM51)+1.5*INPUT!BN51+1.8*IF(B1265="Positive",INPUT!BO51,INPUT!BP51)</f>
        <v>-91.5686973403021</v>
      </c>
      <c r="C1433" s="191">
        <f>L1185</f>
        <v>33716.251777731406</v>
      </c>
      <c r="D1433" s="201" t="str">
        <f>IF(L1265="compact",IF(ABS(B1433)&lt;=C1433,"OK","NG"),"-")</f>
        <v>-</v>
      </c>
      <c r="E1433" s="203" t="str">
        <f>IF(L1265="compact",C1433/ABS(B1433),"-")</f>
        <v>-</v>
      </c>
      <c r="G1433" s="366"/>
      <c r="H1433" s="366"/>
      <c r="O1433" s="350"/>
    </row>
    <row r="1434">
      <c r="A1434" s="187">
        <f>A1354</f>
        <v>101</v>
      </c>
      <c r="B1434" s="191">
        <f>1.25*(INPUT!BE52+INPUT!BF52+INPUT!BG52+INPUT!BM52)+1.5*INPUT!BN52+1.8*IF(B1266="Positive",INPUT!BO52,INPUT!BP52)</f>
        <v>-91.5686973403021</v>
      </c>
      <c r="C1434" s="191">
        <f>L1186</f>
        <v>33716.251777731406</v>
      </c>
      <c r="D1434" s="201" t="str">
        <f>IF(L1266="compact",IF(ABS(B1434)&lt;=C1434,"OK","NG"),"-")</f>
        <v>-</v>
      </c>
      <c r="E1434" s="203" t="str">
        <f>IF(L1266="compact",C1434/ABS(B1434),"-")</f>
        <v>-</v>
      </c>
      <c r="G1434" s="366"/>
      <c r="H1434" s="366"/>
      <c r="O1434" s="350"/>
    </row>
    <row r="1435">
      <c r="A1435" s="187">
        <f>A1355</f>
        <v>101</v>
      </c>
      <c r="B1435" s="191">
        <f>1.25*(INPUT!BE53+INPUT!BF53+INPUT!BG53+INPUT!BM53)+1.5*INPUT!BN53+1.8*IF(B1267="Positive",INPUT!BO53,INPUT!BP53)</f>
        <v>-91.5686973403021</v>
      </c>
      <c r="C1435" s="191">
        <f>L1187</f>
        <v>33716.251777731406</v>
      </c>
      <c r="D1435" s="201" t="str">
        <f>IF(L1267="compact",IF(ABS(B1435)&lt;=C1435,"OK","NG"),"-")</f>
        <v>-</v>
      </c>
      <c r="E1435" s="203" t="str">
        <f>IF(L1267="compact",C1435/ABS(B1435),"-")</f>
        <v>-</v>
      </c>
      <c r="G1435" s="366"/>
      <c r="H1435" s="366"/>
      <c r="O1435" s="350"/>
    </row>
    <row r="1436">
      <c r="A1436" s="187">
        <f>A1356</f>
        <v>101</v>
      </c>
      <c r="B1436" s="191">
        <f>1.25*(INPUT!BE54+INPUT!BF54+INPUT!BG54+INPUT!BM54)+1.5*INPUT!BN54+1.8*IF(B1268="Positive",INPUT!BO54,INPUT!BP54)</f>
        <v>-91.5686973403021</v>
      </c>
      <c r="C1436" s="191">
        <f>L1188</f>
        <v>33716.251777731406</v>
      </c>
      <c r="D1436" s="201" t="str">
        <f>IF(L1268="compact",IF(ABS(B1436)&lt;=C1436,"OK","NG"),"-")</f>
        <v>-</v>
      </c>
      <c r="E1436" s="203" t="str">
        <f>IF(L1268="compact",C1436/ABS(B1436),"-")</f>
        <v>-</v>
      </c>
      <c r="G1436" s="366"/>
      <c r="H1436" s="366"/>
      <c r="O1436" s="350"/>
    </row>
    <row r="1437">
      <c r="A1437" s="187">
        <f>A1357</f>
        <v>101</v>
      </c>
      <c r="B1437" s="191">
        <f>1.25*(INPUT!BE55+INPUT!BF55+INPUT!BG55+INPUT!BM55)+1.5*INPUT!BN55+1.8*IF(B1269="Positive",INPUT!BO55,INPUT!BP55)</f>
        <v>-91.5686973403021</v>
      </c>
      <c r="C1437" s="191">
        <f>L1189</f>
        <v>33716.251777731406</v>
      </c>
      <c r="D1437" s="201" t="str">
        <f>IF(L1269="compact",IF(ABS(B1437)&lt;=C1437,"OK","NG"),"-")</f>
        <v>-</v>
      </c>
      <c r="E1437" s="203" t="str">
        <f>IF(L1269="compact",C1437/ABS(B1437),"-")</f>
        <v>-</v>
      </c>
      <c r="G1437" s="366"/>
      <c r="H1437" s="366"/>
      <c r="O1437" s="350"/>
    </row>
    <row r="1438">
      <c r="A1438" s="187">
        <f>A1358</f>
        <v>101</v>
      </c>
      <c r="B1438" s="191">
        <f>1.25*(INPUT!BE56+INPUT!BF56+INPUT!BG56+INPUT!BM56)+1.5*INPUT!BN56+1.8*IF(B1270="Positive",INPUT!BO56,INPUT!BP56)</f>
        <v>-91.5686973403021</v>
      </c>
      <c r="C1438" s="191">
        <f>L1190</f>
        <v>33716.251777731406</v>
      </c>
      <c r="D1438" s="201" t="str">
        <f>IF(L1270="compact",IF(ABS(B1438)&lt;=C1438,"OK","NG"),"-")</f>
        <v>-</v>
      </c>
      <c r="E1438" s="203" t="str">
        <f>IF(L1270="compact",C1438/ABS(B1438),"-")</f>
        <v>-</v>
      </c>
      <c r="G1438" s="366"/>
      <c r="H1438" s="366"/>
      <c r="O1438" s="350"/>
    </row>
    <row r="1439">
      <c r="A1439" s="187">
        <f>A1359</f>
        <v>101</v>
      </c>
      <c r="B1439" s="191">
        <f>1.25*(INPUT!BE57+INPUT!BF57+INPUT!BG57+INPUT!BM57)+1.5*INPUT!BN57+1.8*IF(B1271="Positive",INPUT!BO57,INPUT!BP57)</f>
        <v>-91.5686973403021</v>
      </c>
      <c r="C1439" s="191">
        <f>L1191</f>
        <v>33716.251777731406</v>
      </c>
      <c r="D1439" s="201" t="str">
        <f>IF(L1271="compact",IF(ABS(B1439)&lt;=C1439,"OK","NG"),"-")</f>
        <v>-</v>
      </c>
      <c r="E1439" s="203" t="str">
        <f>IF(L1271="compact",C1439/ABS(B1439),"-")</f>
        <v>-</v>
      </c>
      <c r="G1439" s="366"/>
      <c r="H1439" s="366"/>
      <c r="O1439" s="350"/>
    </row>
    <row r="1440">
      <c r="A1440" s="187">
        <f>A1360</f>
        <v>101</v>
      </c>
      <c r="B1440" s="191">
        <f>1.25*(INPUT!BE58+INPUT!BF58+INPUT!BG58+INPUT!BM58)+1.5*INPUT!BN58+1.8*IF(B1272="Positive",INPUT!BO58,INPUT!BP58)</f>
        <v>-91.5686973403021</v>
      </c>
      <c r="C1440" s="191">
        <f>L1192</f>
        <v>33716.251777731406</v>
      </c>
      <c r="D1440" s="201" t="str">
        <f>IF(L1272="compact",IF(ABS(B1440)&lt;=C1440,"OK","NG"),"-")</f>
        <v>-</v>
      </c>
      <c r="E1440" s="203" t="str">
        <f>IF(L1272="compact",C1440/ABS(B1440),"-")</f>
        <v>-</v>
      </c>
      <c r="G1440" s="366"/>
      <c r="H1440" s="366"/>
      <c r="O1440" s="350"/>
    </row>
    <row r="1441">
      <c r="A1441" s="187">
        <f>A1361</f>
        <v>101</v>
      </c>
      <c r="B1441" s="191">
        <f>1.25*(INPUT!BE59+INPUT!BF59+INPUT!BG59+INPUT!BM59)+1.5*INPUT!BN59+1.8*IF(B1273="Positive",INPUT!BO59,INPUT!BP59)</f>
        <v>-91.5686973403021</v>
      </c>
      <c r="C1441" s="191">
        <f>L1193</f>
        <v>33716.251777731406</v>
      </c>
      <c r="D1441" s="201" t="str">
        <f>IF(L1273="compact",IF(ABS(B1441)&lt;=C1441,"OK","NG"),"-")</f>
        <v>-</v>
      </c>
      <c r="E1441" s="203" t="str">
        <f>IF(L1273="compact",C1441/ABS(B1441),"-")</f>
        <v>-</v>
      </c>
      <c r="G1441" s="366"/>
      <c r="H1441" s="366"/>
      <c r="O1441" s="350"/>
    </row>
    <row r="1442">
      <c r="A1442" s="187">
        <f>A1362</f>
        <v>101</v>
      </c>
      <c r="B1442" s="191">
        <f>1.25*(INPUT!BE60+INPUT!BF60+INPUT!BG60+INPUT!BM60)+1.5*INPUT!BN60+1.8*IF(B1274="Positive",INPUT!BO60,INPUT!BP60)</f>
        <v>-91.5686973403021</v>
      </c>
      <c r="C1442" s="191">
        <f>L1194</f>
        <v>33716.251777731406</v>
      </c>
      <c r="D1442" s="201" t="str">
        <f>IF(L1274="compact",IF(ABS(B1442)&lt;=C1442,"OK","NG"),"-")</f>
        <v>-</v>
      </c>
      <c r="E1442" s="203" t="str">
        <f>IF(L1274="compact",C1442/ABS(B1442),"-")</f>
        <v>-</v>
      </c>
      <c r="G1442" s="366"/>
      <c r="H1442" s="366"/>
      <c r="O1442" s="350"/>
    </row>
    <row r="1443">
      <c r="A1443" s="187">
        <f>A1363</f>
        <v>101</v>
      </c>
      <c r="B1443" s="191">
        <f>1.25*(INPUT!BE61+INPUT!BF61+INPUT!BG61+INPUT!BM61)+1.5*INPUT!BN61+1.8*IF(B1275="Positive",INPUT!BO61,INPUT!BP61)</f>
        <v>-91.5686973403021</v>
      </c>
      <c r="C1443" s="191">
        <f>L1195</f>
        <v>33716.251777731406</v>
      </c>
      <c r="D1443" s="201" t="str">
        <f>IF(L1275="compact",IF(ABS(B1443)&lt;=C1443,"OK","NG"),"-")</f>
        <v>-</v>
      </c>
      <c r="E1443" s="203" t="str">
        <f>IF(L1275="compact",C1443/ABS(B1443),"-")</f>
        <v>-</v>
      </c>
      <c r="G1443" s="366"/>
      <c r="H1443" s="366"/>
      <c r="O1443" s="350"/>
    </row>
    <row r="1444">
      <c r="A1444" s="187">
        <f>A1364</f>
        <v>101</v>
      </c>
      <c r="B1444" s="191">
        <f>1.25*(INPUT!BE62+INPUT!BF62+INPUT!BG62+INPUT!BM62)+1.5*INPUT!BN62+1.8*IF(B1276="Positive",INPUT!BO62,INPUT!BP62)</f>
        <v>-91.5686973403021</v>
      </c>
      <c r="C1444" s="191">
        <f>L1196</f>
        <v>33716.251777731406</v>
      </c>
      <c r="D1444" s="201" t="str">
        <f>IF(L1276="compact",IF(ABS(B1444)&lt;=C1444,"OK","NG"),"-")</f>
        <v>-</v>
      </c>
      <c r="E1444" s="203" t="str">
        <f>IF(L1276="compact",C1444/ABS(B1444),"-")</f>
        <v>-</v>
      </c>
      <c r="G1444" s="366"/>
      <c r="H1444" s="366"/>
      <c r="O1444" s="350"/>
    </row>
    <row r="1445">
      <c r="A1445" s="187">
        <f>A1365</f>
        <v>101</v>
      </c>
      <c r="B1445" s="191">
        <f>1.25*(INPUT!BE63+INPUT!BF63+INPUT!BG63+INPUT!BM63)+1.5*INPUT!BN63+1.8*IF(B1277="Positive",INPUT!BO63,INPUT!BP63)</f>
        <v>-91.5686973403021</v>
      </c>
      <c r="C1445" s="191">
        <f>L1197</f>
        <v>33716.251777731406</v>
      </c>
      <c r="D1445" s="201" t="str">
        <f>IF(L1277="compact",IF(ABS(B1445)&lt;=C1445,"OK","NG"),"-")</f>
        <v>-</v>
      </c>
      <c r="E1445" s="203" t="str">
        <f>IF(L1277="compact",C1445/ABS(B1445),"-")</f>
        <v>-</v>
      </c>
      <c r="G1445" s="366"/>
      <c r="H1445" s="366"/>
      <c r="O1445" s="350"/>
    </row>
    <row r="1446">
      <c r="A1446" s="187">
        <f>A1366</f>
        <v>101</v>
      </c>
      <c r="B1446" s="191">
        <f>1.25*(INPUT!BE64+INPUT!BF64+INPUT!BG64+INPUT!BM64)+1.5*INPUT!BN64+1.8*IF(B1278="Positive",INPUT!BO64,INPUT!BP64)</f>
        <v>-91.5686973403021</v>
      </c>
      <c r="C1446" s="191">
        <f>L1198</f>
        <v>33716.251777731406</v>
      </c>
      <c r="D1446" s="201" t="str">
        <f>IF(L1278="compact",IF(ABS(B1446)&lt;=C1446,"OK","NG"),"-")</f>
        <v>-</v>
      </c>
      <c r="E1446" s="203" t="str">
        <f>IF(L1278="compact",C1446/ABS(B1446),"-")</f>
        <v>-</v>
      </c>
      <c r="G1446" s="366"/>
      <c r="H1446" s="366"/>
      <c r="O1446" s="350"/>
    </row>
    <row r="1447">
      <c r="A1447" s="187">
        <f>A1367</f>
        <v>101</v>
      </c>
      <c r="B1447" s="191">
        <f>1.25*(INPUT!BE65+INPUT!BF65+INPUT!BG65+INPUT!BM65)+1.5*INPUT!BN65+1.8*IF(B1279="Positive",INPUT!BO65,INPUT!BP65)</f>
        <v>-91.5686973403021</v>
      </c>
      <c r="C1447" s="191">
        <f>L1199</f>
        <v>33716.251777731406</v>
      </c>
      <c r="D1447" s="201" t="str">
        <f>IF(L1279="compact",IF(ABS(B1447)&lt;=C1447,"OK","NG"),"-")</f>
        <v>-</v>
      </c>
      <c r="E1447" s="203" t="str">
        <f>IF(L1279="compact",C1447/ABS(B1447),"-")</f>
        <v>-</v>
      </c>
      <c r="G1447" s="366"/>
      <c r="H1447" s="366"/>
      <c r="O1447" s="350"/>
    </row>
    <row r="1448">
      <c r="A1448" s="187">
        <f>A1368</f>
        <v>101</v>
      </c>
      <c r="B1448" s="191">
        <f>1.25*(INPUT!BE66+INPUT!BF66+INPUT!BG66+INPUT!BM66)+1.5*INPUT!BN66+1.8*IF(B1280="Positive",INPUT!BO66,INPUT!BP66)</f>
        <v>-91.5686973403021</v>
      </c>
      <c r="C1448" s="191">
        <f>L1200</f>
        <v>33716.251777731406</v>
      </c>
      <c r="D1448" s="201" t="str">
        <f>IF(L1280="compact",IF(ABS(B1448)&lt;=C1448,"OK","NG"),"-")</f>
        <v>-</v>
      </c>
      <c r="E1448" s="203" t="str">
        <f>IF(L1280="compact",C1448/ABS(B1448),"-")</f>
        <v>-</v>
      </c>
      <c r="G1448" s="366"/>
      <c r="H1448" s="366"/>
      <c r="O1448" s="350"/>
    </row>
    <row r="1449">
      <c r="A1449" s="187">
        <f>A1369</f>
        <v>101</v>
      </c>
      <c r="B1449" s="191">
        <f>1.25*(INPUT!BE67+INPUT!BF67+INPUT!BG67+INPUT!BM67)+1.5*INPUT!BN67+1.8*IF(B1281="Positive",INPUT!BO67,INPUT!BP67)</f>
        <v>-91.5686973403021</v>
      </c>
      <c r="C1449" s="191">
        <f>L1201</f>
        <v>33716.251777731406</v>
      </c>
      <c r="D1449" s="201" t="str">
        <f>IF(L1281="compact",IF(ABS(B1449)&lt;=C1449,"OK","NG"),"-")</f>
        <v>-</v>
      </c>
      <c r="E1449" s="203" t="str">
        <f>IF(L1281="compact",C1449/ABS(B1449),"-")</f>
        <v>-</v>
      </c>
      <c r="G1449" s="366"/>
      <c r="H1449" s="366"/>
      <c r="O1449" s="350"/>
    </row>
    <row r="1450">
      <c r="A1450" s="187">
        <f>A1370</f>
        <v>101</v>
      </c>
      <c r="B1450" s="191">
        <f>1.25*(INPUT!BE68+INPUT!BF68+INPUT!BG68+INPUT!BM68)+1.5*INPUT!BN68+1.8*IF(B1282="Positive",INPUT!BO68,INPUT!BP68)</f>
        <v>-91.5686973403021</v>
      </c>
      <c r="C1450" s="191">
        <f>L1202</f>
        <v>33716.251777731406</v>
      </c>
      <c r="D1450" s="201" t="str">
        <f>IF(L1282="compact",IF(ABS(B1450)&lt;=C1450,"OK","NG"),"-")</f>
        <v>-</v>
      </c>
      <c r="E1450" s="203" t="str">
        <f>IF(L1282="compact",C1450/ABS(B1450),"-")</f>
        <v>-</v>
      </c>
      <c r="G1450" s="366"/>
      <c r="H1450" s="366"/>
      <c r="O1450" s="350"/>
    </row>
    <row r="1451">
      <c r="A1451" s="187">
        <f>A1371</f>
        <v>101</v>
      </c>
      <c r="B1451" s="191">
        <f>1.25*(INPUT!BE69+INPUT!BF69+INPUT!BG69+INPUT!BM69)+1.5*INPUT!BN69+1.8*IF(B1283="Positive",INPUT!BO69,INPUT!BP69)</f>
        <v>-91.5686973403021</v>
      </c>
      <c r="C1451" s="191">
        <f>L1203</f>
        <v>33716.251777731406</v>
      </c>
      <c r="D1451" s="201" t="str">
        <f>IF(L1283="compact",IF(ABS(B1451)&lt;=C1451,"OK","NG"),"-")</f>
        <v>-</v>
      </c>
      <c r="E1451" s="203" t="str">
        <f>IF(L1283="compact",C1451/ABS(B1451),"-")</f>
        <v>-</v>
      </c>
      <c r="G1451" s="366"/>
      <c r="H1451" s="366"/>
      <c r="O1451" s="350"/>
    </row>
    <row r="1452">
      <c r="A1452" s="187">
        <f>A1372</f>
        <v>101</v>
      </c>
      <c r="B1452" s="191">
        <f>1.25*(INPUT!BE70+INPUT!BF70+INPUT!BG70+INPUT!BM70)+1.5*INPUT!BN70+1.8*IF(B1284="Positive",INPUT!BO70,INPUT!BP70)</f>
        <v>-91.5686973403021</v>
      </c>
      <c r="C1452" s="191">
        <f>L1204</f>
        <v>33716.251777731406</v>
      </c>
      <c r="D1452" s="201" t="str">
        <f>IF(L1284="compact",IF(ABS(B1452)&lt;=C1452,"OK","NG"),"-")</f>
        <v>-</v>
      </c>
      <c r="E1452" s="203" t="str">
        <f>IF(L1284="compact",C1452/ABS(B1452),"-")</f>
        <v>-</v>
      </c>
      <c r="G1452" s="366"/>
      <c r="H1452" s="366"/>
      <c r="O1452" s="350"/>
    </row>
    <row r="1453">
      <c r="A1453" s="187">
        <f>A1373</f>
        <v>101</v>
      </c>
      <c r="B1453" s="191">
        <f>1.25*(INPUT!BE71+INPUT!BF71+INPUT!BG71+INPUT!BM71)+1.5*INPUT!BN71+1.8*IF(B1285="Positive",INPUT!BO71,INPUT!BP71)</f>
        <v>-91.5686973403021</v>
      </c>
      <c r="C1453" s="191">
        <f>L1205</f>
        <v>33716.251777731406</v>
      </c>
      <c r="D1453" s="201" t="str">
        <f>IF(L1285="compact",IF(ABS(B1453)&lt;=C1453,"OK","NG"),"-")</f>
        <v>-</v>
      </c>
      <c r="E1453" s="203" t="str">
        <f>IF(L1285="compact",C1453/ABS(B1453),"-")</f>
        <v>-</v>
      </c>
      <c r="G1453" s="366"/>
      <c r="H1453" s="366"/>
      <c r="O1453" s="350"/>
    </row>
    <row r="1454">
      <c r="A1454" s="187">
        <f>A1374</f>
        <v>101</v>
      </c>
      <c r="B1454" s="191">
        <f>1.25*(INPUT!BE72+INPUT!BF72+INPUT!BG72+INPUT!BM72)+1.5*INPUT!BN72+1.8*IF(B1286="Positive",INPUT!BO72,INPUT!BP72)</f>
        <v>-91.5686973403021</v>
      </c>
      <c r="C1454" s="191">
        <f>L1206</f>
        <v>33716.251777731406</v>
      </c>
      <c r="D1454" s="201" t="str">
        <f>IF(L1286="compact",IF(ABS(B1454)&lt;=C1454,"OK","NG"),"-")</f>
        <v>-</v>
      </c>
      <c r="E1454" s="203" t="str">
        <f>IF(L1286="compact",C1454/ABS(B1454),"-")</f>
        <v>-</v>
      </c>
      <c r="G1454" s="366"/>
      <c r="H1454" s="366"/>
      <c r="O1454" s="350"/>
    </row>
    <row r="1455">
      <c r="A1455" s="187">
        <f>A1375</f>
        <v>101</v>
      </c>
      <c r="B1455" s="191">
        <f>1.25*(INPUT!BE73+INPUT!BF73+INPUT!BG73+INPUT!BM73)+1.5*INPUT!BN73+1.8*IF(B1287="Positive",INPUT!BO73,INPUT!BP73)</f>
        <v>-91.5686973403021</v>
      </c>
      <c r="C1455" s="191">
        <f>L1207</f>
        <v>33716.251777731406</v>
      </c>
      <c r="D1455" s="201" t="str">
        <f>IF(L1287="compact",IF(ABS(B1455)&lt;=C1455,"OK","NG"),"-")</f>
        <v>-</v>
      </c>
      <c r="E1455" s="203" t="str">
        <f>IF(L1287="compact",C1455/ABS(B1455),"-")</f>
        <v>-</v>
      </c>
      <c r="G1455" s="366"/>
      <c r="H1455" s="366"/>
      <c r="O1455" s="350"/>
    </row>
    <row r="1456">
      <c r="A1456" s="187">
        <f>A1376</f>
        <v>101</v>
      </c>
      <c r="B1456" s="191">
        <f>1.25*(INPUT!BE74+INPUT!BF74+INPUT!BG74+INPUT!BM74)+1.5*INPUT!BN74+1.8*IF(B1288="Positive",INPUT!BO74,INPUT!BP74)</f>
        <v>-91.5686973403021</v>
      </c>
      <c r="C1456" s="191">
        <f>L1208</f>
        <v>33716.251777731406</v>
      </c>
      <c r="D1456" s="201" t="str">
        <f>IF(L1288="compact",IF(ABS(B1456)&lt;=C1456,"OK","NG"),"-")</f>
        <v>-</v>
      </c>
      <c r="E1456" s="203" t="str">
        <f>IF(L1288="compact",C1456/ABS(B1456),"-")</f>
        <v>-</v>
      </c>
      <c r="G1456" s="366"/>
      <c r="H1456" s="366"/>
      <c r="O1456" s="350"/>
    </row>
    <row r="1457">
      <c r="A1457" s="187">
        <f>A1377</f>
        <v>101</v>
      </c>
      <c r="B1457" s="191">
        <f>1.25*(INPUT!BE75+INPUT!BF75+INPUT!BG75+INPUT!BM75)+1.5*INPUT!BN75+1.8*IF(B1289="Positive",INPUT!BO75,INPUT!BP75)</f>
        <v>-91.5686973403021</v>
      </c>
      <c r="C1457" s="191">
        <f>L1209</f>
        <v>33716.251777731406</v>
      </c>
      <c r="D1457" s="201" t="str">
        <f>IF(L1289="compact",IF(ABS(B1457)&lt;=C1457,"OK","NG"),"-")</f>
        <v>-</v>
      </c>
      <c r="E1457" s="203" t="str">
        <f>IF(L1289="compact",C1457/ABS(B1457),"-")</f>
        <v>-</v>
      </c>
      <c r="G1457" s="366"/>
      <c r="H1457" s="366"/>
      <c r="O1457" s="350"/>
    </row>
    <row r="1458">
      <c r="A1458" s="187">
        <f>A1378</f>
        <v>101</v>
      </c>
      <c r="B1458" s="191">
        <f>1.25*(INPUT!BE76+INPUT!BF76+INPUT!BG76+INPUT!BM76)+1.5*INPUT!BN76+1.8*IF(B1290="Positive",INPUT!BO76,INPUT!BP76)</f>
        <v>-91.5686973403021</v>
      </c>
      <c r="C1458" s="191">
        <f>L1210</f>
        <v>33716.251777731406</v>
      </c>
      <c r="D1458" s="201" t="str">
        <f>IF(L1290="compact",IF(ABS(B1458)&lt;=C1458,"OK","NG"),"-")</f>
        <v>-</v>
      </c>
      <c r="E1458" s="203" t="str">
        <f>IF(L1290="compact",C1458/ABS(B1458),"-")</f>
        <v>-</v>
      </c>
      <c r="G1458" s="366"/>
      <c r="H1458" s="366"/>
      <c r="O1458" s="350"/>
    </row>
    <row r="1459">
      <c r="A1459" s="187">
        <f>A1379</f>
        <v>101</v>
      </c>
      <c r="B1459" s="191">
        <f>1.25*(INPUT!BE77+INPUT!BF77+INPUT!BG77+INPUT!BM77)+1.5*INPUT!BN77+1.8*IF(B1291="Positive",INPUT!BO77,INPUT!BP77)</f>
        <v>-91.5686973403021</v>
      </c>
      <c r="C1459" s="191">
        <f>L1211</f>
        <v>33716.251777731406</v>
      </c>
      <c r="D1459" s="201" t="str">
        <f>IF(L1291="compact",IF(ABS(B1459)&lt;=C1459,"OK","NG"),"-")</f>
        <v>-</v>
      </c>
      <c r="E1459" s="203" t="str">
        <f>IF(L1291="compact",C1459/ABS(B1459),"-")</f>
        <v>-</v>
      </c>
      <c r="G1459" s="366"/>
      <c r="H1459" s="366"/>
      <c r="O1459" s="350"/>
    </row>
    <row r="1460">
      <c r="A1460" s="187">
        <f>A1380</f>
        <v>101</v>
      </c>
      <c r="B1460" s="191">
        <f>1.25*(INPUT!BE78+INPUT!BF78+INPUT!BG78+INPUT!BM78)+1.5*INPUT!BN78+1.8*IF(B1292="Positive",INPUT!BO78,INPUT!BP78)</f>
        <v>-91.5686973403021</v>
      </c>
      <c r="C1460" s="191">
        <f>L1212</f>
        <v>33716.251777731406</v>
      </c>
      <c r="D1460" s="201" t="str">
        <f>IF(L1292="compact",IF(ABS(B1460)&lt;=C1460,"OK","NG"),"-")</f>
        <v>-</v>
      </c>
      <c r="E1460" s="203" t="str">
        <f>IF(L1292="compact",C1460/ABS(B1460),"-")</f>
        <v>-</v>
      </c>
      <c r="G1460" s="366"/>
      <c r="H1460" s="366"/>
      <c r="O1460" s="350"/>
    </row>
    <row r="1461" ht="15" customHeight="1" s="4" customFormat="1">
      <c r="A1461" s="209"/>
      <c r="B1461" s="209"/>
      <c r="C1461" s="312"/>
      <c r="D1461" s="312"/>
      <c r="E1461" s="312"/>
      <c r="F1461" s="312"/>
      <c r="G1461" s="312"/>
      <c r="H1461" s="312"/>
      <c r="I1461" s="312"/>
      <c r="J1461" s="312"/>
      <c r="K1461" s="133"/>
      <c r="L1461" s="133"/>
      <c r="M1461" s="312"/>
      <c r="N1461" s="312"/>
      <c r="O1461" s="350"/>
      <c r="P1461" s="64"/>
      <c r="T1461" s="300"/>
      <c r="U1461" s="312"/>
      <c r="V1461" s="312"/>
      <c r="W1461" s="312"/>
      <c r="Z1461" s="209"/>
      <c r="AB1461" s="209"/>
      <c r="AE1461" s="209"/>
    </row>
    <row r="1462" ht="15" customHeight="1" s="4" customFormat="1">
      <c r="A1462" s="39" t="s">
        <v>965</v>
      </c>
      <c r="L1462" s="209"/>
      <c r="N1462" s="234" t="s">
        <v>966</v>
      </c>
      <c r="O1462" s="296"/>
      <c r="P1462" s="64"/>
      <c r="Z1462" s="209"/>
      <c r="AB1462" s="209"/>
      <c r="AE1462" s="209"/>
    </row>
    <row r="1463" ht="15" customHeight="1" s="4" customFormat="1">
      <c r="A1463" s="40"/>
      <c r="L1463" s="209"/>
      <c r="O1463" s="296"/>
      <c r="P1463" s="64"/>
      <c r="Z1463" s="209"/>
      <c r="AB1463" s="209"/>
      <c r="AE1463" s="209"/>
    </row>
    <row r="1464" ht="20.1" customHeight="1">
      <c r="A1464" s="40"/>
      <c r="B1464" s="19"/>
      <c r="C1464" s="41"/>
      <c r="D1464" s="42"/>
      <c r="E1464" s="43" t="s">
        <v>502</v>
      </c>
      <c r="F1464" s="42"/>
      <c r="G1464" s="44"/>
      <c r="H1464" s="45"/>
      <c r="I1464" s="4"/>
      <c r="J1464" s="4"/>
      <c r="K1464" s="4"/>
      <c r="L1464" s="209"/>
      <c r="M1464" s="4"/>
      <c r="N1464" s="4"/>
      <c r="O1464" s="296"/>
      <c r="P1464" s="64"/>
    </row>
    <row r="1465" ht="15" customHeight="1" s="4" customFormat="1">
      <c r="C1465" s="19"/>
      <c r="G1465" s="38"/>
      <c r="L1465" s="209"/>
      <c r="O1465" s="296"/>
      <c r="P1465" s="64"/>
      <c r="Z1465" s="209"/>
      <c r="AB1465" s="209"/>
      <c r="AE1465" s="209"/>
    </row>
    <row r="1466" ht="15" customHeight="1" s="4" customFormat="1">
      <c r="A1466" s="4" t="s">
        <v>171</v>
      </c>
      <c r="G1466" s="38"/>
      <c r="L1466" s="209"/>
      <c r="O1466" s="296"/>
      <c r="P1466" s="64"/>
      <c r="Z1466" s="209"/>
      <c r="AB1466" s="209"/>
      <c r="AE1466" s="209"/>
    </row>
    <row r="1467" ht="15" customHeight="1" s="4" customFormat="1">
      <c r="A1467" s="212" t="s">
        <v>197</v>
      </c>
      <c r="B1467" s="4" t="s">
        <v>967</v>
      </c>
      <c r="G1467" s="38"/>
      <c r="L1467" s="209"/>
      <c r="O1467" s="296"/>
      <c r="P1467" s="64"/>
      <c r="Z1467" s="209"/>
      <c r="AB1467" s="209"/>
      <c r="AE1467" s="209"/>
    </row>
    <row r="1468" ht="15" customHeight="1" s="4" customFormat="1">
      <c r="B1468" s="4" t="s">
        <v>505</v>
      </c>
      <c r="G1468" s="38"/>
      <c r="L1468" s="209"/>
      <c r="O1468" s="296"/>
      <c r="P1468" s="64"/>
      <c r="Z1468" s="209"/>
      <c r="AB1468" s="209"/>
      <c r="AE1468" s="209"/>
    </row>
    <row r="1469" ht="15" customHeight="1" s="4" customFormat="1">
      <c r="B1469" s="4" t="s">
        <v>506</v>
      </c>
      <c r="G1469" s="38"/>
      <c r="L1469" s="209"/>
      <c r="O1469" s="296"/>
      <c r="P1469" s="64"/>
      <c r="Z1469" s="209"/>
      <c r="AB1469" s="209"/>
      <c r="AE1469" s="209"/>
    </row>
    <row r="1470" ht="15" customHeight="1" s="4" customFormat="1">
      <c r="A1470" s="11"/>
      <c r="B1470" s="105"/>
      <c r="G1470" s="38"/>
      <c r="L1470" s="209"/>
      <c r="O1470" s="296"/>
      <c r="P1470" s="64"/>
      <c r="Z1470" s="209"/>
      <c r="AB1470" s="209"/>
      <c r="AE1470" s="209"/>
    </row>
    <row r="1471" ht="15" customHeight="1" s="4" customFormat="1">
      <c r="A1471" s="11"/>
      <c r="G1471" s="38"/>
      <c r="L1471" s="209"/>
      <c r="O1471" s="296"/>
      <c r="P1471" s="64"/>
      <c r="Y1471" s="209"/>
      <c r="Z1471" s="209"/>
      <c r="AB1471" s="209"/>
      <c r="AE1471" s="209"/>
    </row>
    <row r="1472" ht="15" customHeight="1" s="4" customFormat="1">
      <c r="A1472" s="212" t="s">
        <v>197</v>
      </c>
      <c r="B1472" s="4" t="s">
        <v>968</v>
      </c>
      <c r="G1472" s="344"/>
      <c r="H1472" s="344"/>
      <c r="I1472" s="344"/>
      <c r="L1472" s="209"/>
      <c r="O1472" s="296"/>
      <c r="P1472" s="64"/>
      <c r="Z1472" s="209"/>
      <c r="AB1472" s="209"/>
      <c r="AE1472" s="209"/>
    </row>
    <row r="1473" ht="20.1" customHeight="1" s="4" customFormat="1">
      <c r="B1473" s="46" t="s">
        <v>163</v>
      </c>
      <c r="C1473" s="46"/>
      <c r="D1473" s="46"/>
      <c r="E1473" s="46"/>
      <c r="F1473" s="46"/>
      <c r="G1473" s="47"/>
      <c r="H1473" s="46" t="s">
        <v>969</v>
      </c>
      <c r="I1473" s="345"/>
      <c r="J1473" s="345"/>
      <c r="K1473" s="47"/>
      <c r="L1473" s="47"/>
      <c r="O1473" s="296"/>
      <c r="P1473" s="64"/>
      <c r="Z1473" s="209"/>
      <c r="AB1473" s="209"/>
      <c r="AE1473" s="209"/>
    </row>
    <row r="1474" ht="20.1" customHeight="1" s="4" customFormat="1">
      <c r="B1474" s="114" t="s">
        <v>970</v>
      </c>
      <c r="C1474" s="114"/>
      <c r="D1474" s="114"/>
      <c r="E1474" s="114"/>
      <c r="F1474" s="114"/>
      <c r="G1474" s="114"/>
      <c r="H1474" s="114" t="s">
        <v>971</v>
      </c>
      <c r="I1474" s="346"/>
      <c r="J1474" s="346"/>
      <c r="K1474" s="114"/>
      <c r="L1474" s="114"/>
      <c r="N1474" s="234" t="s">
        <v>972</v>
      </c>
      <c r="O1474" s="296"/>
      <c r="P1474" s="64"/>
      <c r="Z1474" s="209"/>
      <c r="AB1474" s="209"/>
      <c r="AE1474" s="209"/>
    </row>
    <row r="1475" ht="20.1" customHeight="1" s="4" customFormat="1">
      <c r="B1475" s="4" t="s">
        <v>973</v>
      </c>
      <c r="J1475" s="344"/>
      <c r="O1475" s="296"/>
      <c r="P1475" s="64"/>
      <c r="Z1475" s="209"/>
      <c r="AB1475" s="209"/>
      <c r="AE1475" s="209"/>
    </row>
    <row r="1476" ht="20.1" customHeight="1" s="4" customFormat="1">
      <c r="B1476" s="105"/>
      <c r="C1476" s="91" t="s">
        <v>974</v>
      </c>
      <c r="D1476" s="49"/>
      <c r="E1476" s="49"/>
      <c r="F1476" s="49"/>
      <c r="G1476" s="49"/>
      <c r="H1476" s="49" t="s">
        <v>971</v>
      </c>
      <c r="I1476" s="347"/>
      <c r="J1476" s="347"/>
      <c r="K1476" s="49"/>
      <c r="L1476" s="49"/>
      <c r="N1476" s="234" t="s">
        <v>975</v>
      </c>
      <c r="O1476" s="296"/>
      <c r="P1476" s="64"/>
      <c r="Z1476" s="209"/>
      <c r="AB1476" s="209"/>
      <c r="AE1476" s="209"/>
    </row>
    <row r="1477" ht="20.1" customHeight="1" s="4" customFormat="1">
      <c r="C1477" s="30" t="s">
        <v>976</v>
      </c>
      <c r="G1477" s="344"/>
      <c r="H1477" s="344"/>
      <c r="L1477" s="209"/>
      <c r="N1477" s="234" t="s">
        <v>977</v>
      </c>
      <c r="O1477" s="296"/>
      <c r="P1477" s="64"/>
      <c r="Z1477" s="209"/>
      <c r="AB1477" s="209"/>
      <c r="AE1477" s="209"/>
    </row>
    <row r="1478" ht="20.1" customHeight="1" s="4" customFormat="1">
      <c r="D1478" s="4" t="s">
        <v>978</v>
      </c>
      <c r="G1478" s="344"/>
      <c r="H1478" s="352" t="s">
        <v>979</v>
      </c>
      <c r="J1478" s="210"/>
      <c r="K1478" s="210"/>
      <c r="L1478" s="210"/>
      <c r="M1478" s="210"/>
      <c r="N1478" s="210"/>
      <c r="O1478" s="296"/>
      <c r="P1478" s="64"/>
      <c r="Z1478" s="209"/>
      <c r="AB1478" s="209"/>
      <c r="AE1478" s="209"/>
    </row>
    <row r="1479" ht="20.1" customHeight="1" s="4" customFormat="1">
      <c r="B1479" s="22"/>
      <c r="C1479" s="22"/>
      <c r="D1479" s="22" t="s">
        <v>167</v>
      </c>
      <c r="E1479" s="22"/>
      <c r="F1479" s="22"/>
      <c r="G1479" s="349"/>
      <c r="H1479" s="353" t="s">
        <v>980</v>
      </c>
      <c r="I1479" s="22"/>
      <c r="J1479" s="22"/>
      <c r="K1479" s="22"/>
      <c r="L1479" s="211"/>
      <c r="O1479" s="296"/>
      <c r="P1479" s="64"/>
      <c r="Z1479" s="209"/>
      <c r="AB1479" s="209"/>
      <c r="AE1479" s="209"/>
    </row>
    <row r="1480" ht="15" customHeight="1" s="4" customFormat="1">
      <c r="C1480" s="11"/>
      <c r="H1480" s="132"/>
      <c r="I1480" s="109"/>
      <c r="J1480" s="132"/>
      <c r="K1480" s="132"/>
      <c r="L1480" s="132"/>
      <c r="M1480" s="132"/>
      <c r="N1480" s="209"/>
      <c r="O1480" s="296"/>
      <c r="P1480" s="64"/>
      <c r="Z1480" s="209"/>
      <c r="AB1480" s="209"/>
      <c r="AE1480" s="209"/>
    </row>
    <row r="1481" ht="15" customHeight="1" s="4" customFormat="1">
      <c r="A1481" s="212" t="s">
        <v>197</v>
      </c>
      <c r="B1481" s="4" t="s">
        <v>509</v>
      </c>
      <c r="C1481" s="105"/>
      <c r="D1481" s="19"/>
      <c r="E1481" s="105"/>
      <c r="F1481" s="105"/>
      <c r="G1481" s="105"/>
      <c r="L1481" s="209"/>
      <c r="N1481" s="234" t="s">
        <v>977</v>
      </c>
      <c r="O1481" s="296"/>
      <c r="P1481" s="64"/>
      <c r="Y1481" s="209"/>
      <c r="Z1481" s="209"/>
      <c r="AB1481" s="209"/>
      <c r="AE1481" s="209"/>
    </row>
    <row r="1482" ht="20.1" customHeight="1" s="4" customFormat="1">
      <c r="B1482" s="46" t="s">
        <v>163</v>
      </c>
      <c r="C1482" s="47"/>
      <c r="D1482" s="46"/>
      <c r="E1482" s="46"/>
      <c r="F1482" s="46"/>
      <c r="G1482" s="47"/>
      <c r="H1482" s="47"/>
      <c r="I1482" s="47"/>
      <c r="J1482" s="46" t="s">
        <v>510</v>
      </c>
      <c r="K1482" s="47"/>
      <c r="L1482" s="47"/>
      <c r="O1482" s="296"/>
      <c r="P1482" s="64"/>
      <c r="Y1482" s="209"/>
      <c r="Z1482" s="209"/>
      <c r="AB1482" s="209"/>
      <c r="AE1482" s="209"/>
    </row>
    <row r="1483" ht="20.1" customHeight="1" s="4" customFormat="1">
      <c r="B1483" s="354" t="s">
        <v>981</v>
      </c>
      <c r="C1483" s="354"/>
      <c r="D1483" s="354"/>
      <c r="E1483" s="354"/>
      <c r="F1483" s="354"/>
      <c r="G1483" s="354"/>
      <c r="H1483" s="354"/>
      <c r="I1483" s="354"/>
      <c r="J1483" s="54">
        <v>1</v>
      </c>
      <c r="K1483" s="354"/>
      <c r="L1483" s="354"/>
      <c r="O1483" s="296"/>
      <c r="P1483" s="64"/>
      <c r="Y1483" s="209"/>
      <c r="Z1483" s="209"/>
      <c r="AB1483" s="209"/>
      <c r="AE1483" s="209"/>
    </row>
    <row r="1484" ht="20.1" customHeight="1" s="4" customFormat="1">
      <c r="B1484" s="354" t="s">
        <v>982</v>
      </c>
      <c r="C1484" s="354"/>
      <c r="D1484" s="355"/>
      <c r="E1484" s="354"/>
      <c r="F1484" s="354"/>
      <c r="G1484" s="354"/>
      <c r="H1484" s="354"/>
      <c r="I1484" s="354"/>
      <c r="J1484" s="354" t="s">
        <v>983</v>
      </c>
      <c r="K1484" s="354"/>
      <c r="L1484" s="354"/>
      <c r="O1484" s="296"/>
      <c r="P1484" s="64"/>
      <c r="Y1484" s="209"/>
      <c r="Z1484" s="209"/>
      <c r="AB1484" s="209"/>
      <c r="AE1484" s="209"/>
    </row>
    <row r="1485" ht="20.1" customHeight="1" s="4" customFormat="1">
      <c r="B1485" s="356" t="s">
        <v>984</v>
      </c>
      <c r="C1485" s="356"/>
      <c r="D1485" s="356"/>
      <c r="E1485" s="356"/>
      <c r="F1485" s="356"/>
      <c r="G1485" s="356"/>
      <c r="H1485" s="356"/>
      <c r="I1485" s="356"/>
      <c r="J1485" s="356" t="s">
        <v>985</v>
      </c>
      <c r="K1485" s="356"/>
      <c r="L1485" s="356"/>
      <c r="O1485" s="296"/>
      <c r="P1485" s="64"/>
      <c r="Y1485" s="209"/>
      <c r="Z1485" s="209"/>
      <c r="AB1485" s="209"/>
      <c r="AE1485" s="209"/>
    </row>
    <row r="1486" ht="15" customHeight="1" s="4" customFormat="1">
      <c r="O1486" s="296"/>
      <c r="P1486" s="64"/>
      <c r="Y1486" s="209"/>
      <c r="Z1486" s="209"/>
      <c r="AB1486" s="209"/>
      <c r="AE1486" s="209"/>
    </row>
    <row r="1487" ht="15" customHeight="1" s="4" customFormat="1">
      <c r="A1487" s="212" t="s">
        <v>197</v>
      </c>
      <c r="B1487" s="4" t="s">
        <v>986</v>
      </c>
      <c r="C1487" s="105"/>
      <c r="D1487" s="19"/>
      <c r="E1487" s="105"/>
      <c r="F1487" s="105"/>
      <c r="G1487" s="105"/>
      <c r="L1487" s="209"/>
      <c r="O1487" s="296"/>
      <c r="P1487" s="64"/>
      <c r="Y1487" s="209"/>
      <c r="Z1487" s="209"/>
      <c r="AB1487" s="209"/>
      <c r="AE1487" s="209"/>
    </row>
    <row r="1488" ht="20.1" customHeight="1" s="4" customFormat="1">
      <c r="B1488" s="46" t="s">
        <v>163</v>
      </c>
      <c r="C1488" s="47"/>
      <c r="D1488" s="46"/>
      <c r="E1488" s="46"/>
      <c r="F1488" s="46"/>
      <c r="G1488" s="47"/>
      <c r="H1488" s="47"/>
      <c r="I1488" s="47"/>
      <c r="J1488" s="46" t="s">
        <v>334</v>
      </c>
      <c r="K1488" s="47"/>
      <c r="L1488" s="47"/>
      <c r="O1488" s="296"/>
      <c r="P1488" s="64"/>
      <c r="Y1488" s="209"/>
      <c r="Z1488" s="209"/>
      <c r="AB1488" s="209"/>
      <c r="AE1488" s="209"/>
    </row>
    <row r="1489" ht="20.1" customHeight="1" s="4" customFormat="1">
      <c r="B1489" s="4" t="s">
        <v>970</v>
      </c>
      <c r="J1489" s="54">
        <v>5</v>
      </c>
      <c r="O1489" s="296"/>
      <c r="P1489" s="64"/>
      <c r="Y1489" s="209"/>
      <c r="AD1489" s="209"/>
      <c r="AF1489" s="209"/>
    </row>
    <row r="1490" ht="20.1" customHeight="1" s="4" customFormat="1">
      <c r="B1490" s="22" t="s">
        <v>973</v>
      </c>
      <c r="C1490" s="22"/>
      <c r="D1490" s="23"/>
      <c r="E1490" s="22"/>
      <c r="F1490" s="22"/>
      <c r="G1490" s="22"/>
      <c r="H1490" s="22"/>
      <c r="I1490" s="22"/>
      <c r="J1490" s="22" t="s">
        <v>987</v>
      </c>
      <c r="K1490" s="22"/>
      <c r="L1490" s="22"/>
      <c r="O1490" s="296"/>
      <c r="P1490" s="64"/>
      <c r="Y1490" s="209"/>
      <c r="AD1490" s="209"/>
      <c r="AF1490" s="209"/>
    </row>
    <row r="1491" ht="15" customHeight="1" s="4" customFormat="1">
      <c r="B1491" s="4" t="s">
        <v>517</v>
      </c>
      <c r="O1491" s="296"/>
      <c r="P1491" s="64"/>
      <c r="Y1491" s="209"/>
      <c r="AD1491" s="209"/>
      <c r="AF1491" s="209"/>
    </row>
    <row r="1492" ht="15" customHeight="1" s="4" customFormat="1">
      <c r="O1492" s="296"/>
      <c r="P1492" s="64"/>
      <c r="Y1492" s="209"/>
      <c r="AD1492" s="209"/>
      <c r="AF1492" s="209"/>
    </row>
    <row r="1493" ht="15" customHeight="1" s="4" customFormat="1">
      <c r="A1493" s="212" t="s">
        <v>197</v>
      </c>
      <c r="B1493" s="4" t="s">
        <v>988</v>
      </c>
      <c r="G1493" s="344"/>
      <c r="H1493" s="344"/>
      <c r="I1493" s="344"/>
      <c r="L1493" s="209"/>
      <c r="N1493" s="234" t="s">
        <v>989</v>
      </c>
      <c r="O1493" s="296"/>
      <c r="P1493" s="64"/>
      <c r="Z1493" s="209"/>
      <c r="AB1493" s="209"/>
      <c r="AE1493" s="209"/>
    </row>
    <row r="1494" ht="20.1" customHeight="1" s="4" customFormat="1">
      <c r="B1494" s="47" t="s">
        <v>163</v>
      </c>
      <c r="C1494" s="47"/>
      <c r="D1494" s="47"/>
      <c r="E1494" s="47"/>
      <c r="F1494" s="47"/>
      <c r="G1494" s="348"/>
      <c r="H1494" s="348"/>
      <c r="I1494" s="47"/>
      <c r="J1494" s="348" t="s">
        <v>950</v>
      </c>
      <c r="K1494" s="47"/>
      <c r="L1494" s="47"/>
      <c r="O1494" s="296"/>
      <c r="P1494" s="64"/>
      <c r="Z1494" s="209"/>
      <c r="AB1494" s="209"/>
      <c r="AE1494" s="209"/>
    </row>
    <row r="1495" ht="20.1" customHeight="1" s="4" customFormat="1">
      <c r="B1495" s="4" t="s">
        <v>990</v>
      </c>
      <c r="G1495" s="344"/>
      <c r="H1495" s="344"/>
      <c r="J1495" s="344" t="s">
        <v>973</v>
      </c>
      <c r="O1495" s="296"/>
      <c r="P1495" s="64"/>
      <c r="Z1495" s="209"/>
      <c r="AB1495" s="209"/>
      <c r="AE1495" s="209"/>
    </row>
    <row r="1496" ht="20.1" customHeight="1" s="4" customFormat="1">
      <c r="B1496" s="4" t="s">
        <v>991</v>
      </c>
      <c r="G1496" s="344"/>
      <c r="H1496" s="344"/>
      <c r="J1496" s="344" t="s">
        <v>973</v>
      </c>
      <c r="O1496" s="296"/>
      <c r="P1496" s="64"/>
      <c r="Z1496" s="209"/>
      <c r="AB1496" s="209"/>
      <c r="AE1496" s="209"/>
    </row>
    <row r="1497" ht="20.1" customHeight="1" s="4" customFormat="1">
      <c r="B1497" s="22" t="s">
        <v>167</v>
      </c>
      <c r="C1497" s="22"/>
      <c r="D1497" s="22"/>
      <c r="E1497" s="22"/>
      <c r="F1497" s="22"/>
      <c r="G1497" s="349"/>
      <c r="H1497" s="349"/>
      <c r="I1497" s="22"/>
      <c r="J1497" s="349" t="s">
        <v>992</v>
      </c>
      <c r="K1497" s="22"/>
      <c r="L1497" s="22"/>
      <c r="O1497" s="296"/>
      <c r="P1497" s="64"/>
      <c r="Z1497" s="209"/>
      <c r="AB1497" s="209"/>
      <c r="AE1497" s="209"/>
    </row>
    <row r="1498" ht="15" customHeight="1" s="4" customFormat="1">
      <c r="L1498" s="209"/>
      <c r="O1498" s="296"/>
      <c r="P1498" s="64"/>
      <c r="Z1498" s="209"/>
      <c r="AB1498" s="209"/>
      <c r="AE1498" s="209"/>
    </row>
    <row r="1499" ht="15" customHeight="1" s="4" customFormat="1">
      <c r="A1499" s="59" t="s">
        <v>993</v>
      </c>
      <c r="L1499" s="209"/>
      <c r="O1499" s="296"/>
      <c r="P1499" s="64"/>
      <c r="Z1499" s="209"/>
      <c r="AB1499" s="209"/>
      <c r="AE1499" s="209"/>
    </row>
    <row r="1500" ht="15" customHeight="1" s="4" customFormat="1">
      <c r="A1500" s="335" t="s">
        <v>230</v>
      </c>
      <c r="B1500" s="494" t="s">
        <v>950</v>
      </c>
      <c r="C1500" s="498"/>
      <c r="D1500" s="498"/>
      <c r="E1500" s="498"/>
      <c r="F1500" s="495"/>
      <c r="G1500" s="334" t="s">
        <v>353</v>
      </c>
      <c r="H1500" s="334" t="s">
        <v>523</v>
      </c>
      <c r="I1500" s="334" t="s">
        <v>994</v>
      </c>
      <c r="J1500" s="494" t="s">
        <v>995</v>
      </c>
      <c r="K1500" s="498"/>
      <c r="L1500" s="498"/>
      <c r="M1500" s="495"/>
      <c r="N1500" s="275" t="s">
        <v>996</v>
      </c>
      <c r="O1500" s="296"/>
      <c r="P1500" s="64"/>
    </row>
    <row r="1501" ht="15" customHeight="1" s="4" customFormat="1">
      <c r="A1501" s="337"/>
      <c r="B1501" s="357" t="s">
        <v>522</v>
      </c>
      <c r="C1501" s="357" t="s">
        <v>25</v>
      </c>
      <c r="D1501" s="357" t="s">
        <v>497</v>
      </c>
      <c r="E1501" s="357" t="s">
        <v>950</v>
      </c>
      <c r="F1501" s="357"/>
      <c r="G1501" s="302"/>
      <c r="H1501" s="302"/>
      <c r="I1501" s="302"/>
      <c r="J1501" s="302" t="s">
        <v>334</v>
      </c>
      <c r="K1501" s="302" t="s">
        <v>948</v>
      </c>
      <c r="L1501" s="302" t="s">
        <v>997</v>
      </c>
      <c r="M1501" s="358" t="s">
        <v>510</v>
      </c>
      <c r="N1501" s="278"/>
      <c r="O1501" s="296"/>
      <c r="P1501" s="64"/>
    </row>
    <row r="1502" ht="15" customHeight="1">
      <c r="A1502" s="187">
        <f>A1305</f>
        <v>101</v>
      </c>
      <c r="B1502" s="174">
        <f>INPUT!AC3</f>
        <v>1587.5</v>
      </c>
      <c r="C1502" s="174">
        <f>K817</f>
        <v>2800</v>
      </c>
      <c r="D1502" s="191">
        <f>D1217</f>
        <v>700</v>
      </c>
      <c r="E1502" s="174" t="str">
        <f>IF(OR(AND(B1502&lt;=3*C1502,D1502=0),AND(B1502&lt;=1.5*C1502,D1502&gt;0)),"stiffened","unstiffened")</f>
        <v>stiffened</v>
      </c>
      <c r="F1502" s="380"/>
      <c r="G1502" s="343">
        <f>K1217</f>
        <v>12</v>
      </c>
      <c r="H1502" s="174">
        <f>E1217*K1217</f>
        <v>2822.01832606489</v>
      </c>
      <c r="I1502" s="191">
        <f>0.58*INPUT!AQ3*1000*H1502*G1502/10^6</f>
        <v>6972.6428800411295</v>
      </c>
      <c r="J1502" s="192">
        <f>IF(E1502="stiffened",5+5/(B1502/C1502)^2,5)</f>
        <v>20.554591109182219</v>
      </c>
      <c r="K1502" s="191">
        <f>H1502/G1502</f>
        <v>235.16819383874085</v>
      </c>
      <c r="L1502" s="191">
        <f>SQRT(INPUT!$B$2*J1502/INPUT!AQ3)</f>
        <v>0</v>
      </c>
      <c r="M1502" s="184">
        <f>IF(K1502&lt;=1.12*L1502,1,IF(K1502&lt;=1.4*L1502,1.12/K1502*L1502,1.57*L1502^2/K1502^2))</f>
        <v>0</v>
      </c>
      <c r="N1502" s="286">
        <f>IF(E1502="stiffened",IF(2*C1502*G1502/(INPUT!H3*INPUT!I3*INPUT!J3+INPUT!K3*INPUT!L3)&lt;=2.5,I1502*(M1502+0.87*(1-M1502)/SQRT(1+(B1502/C1502)^2)),I1502*(M1502+0.87*(1-M1502)/(SQRT(1+(B1502/C1502)^2)+B1502/C1502))),M1502*I1502)</f>
        <v>5277.0541860455469</v>
      </c>
    </row>
    <row r="1503">
      <c r="A1503" s="187">
        <f>A1306</f>
        <v>101</v>
      </c>
      <c r="B1503" s="174">
        <f>INPUT!AC4</f>
        <v>1587.5</v>
      </c>
      <c r="C1503" s="174">
        <f>K818</f>
        <v>2800</v>
      </c>
      <c r="D1503" s="191">
        <f>D1218</f>
        <v>700</v>
      </c>
      <c r="E1503" s="174" t="str">
        <f>IF(OR(AND(B1503&lt;=3*C1503,D1503=0),AND(B1503&lt;=1.5*C1503,D1503&gt;0)),"stiffened","unstiffened")</f>
        <v>stiffened</v>
      </c>
      <c r="F1503" s="380"/>
      <c r="G1503" s="343">
        <f>K1218</f>
        <v>12</v>
      </c>
      <c r="H1503" s="174">
        <f>E1218*K1218</f>
        <v>2822.01832606489</v>
      </c>
      <c r="I1503" s="191">
        <f>0.58*INPUT!AQ4*1000*H1503*G1503/10^6</f>
        <v>6972.6428800411295</v>
      </c>
      <c r="J1503" s="192">
        <f>IF(E1503="stiffened",5+5/(B1503/C1503)^2,5)</f>
        <v>20.554591109182219</v>
      </c>
      <c r="K1503" s="191">
        <f>H1503/G1503</f>
        <v>235.16819383874085</v>
      </c>
      <c r="L1503" s="191">
        <f>SQRT(INPUT!$B$2*J1503/INPUT!AQ4)</f>
        <v>0</v>
      </c>
      <c r="M1503" s="184">
        <f>IF(K1503&lt;=1.12*L1503,1,IF(K1503&lt;=1.4*L1503,1.12/K1503*L1503,1.57*L1503^2/K1503^2))</f>
        <v>0</v>
      </c>
      <c r="N1503" s="286">
        <f>IF(E1503="stiffened",IF(2*C1503*G1503/(INPUT!H4*INPUT!I4*INPUT!J4+INPUT!K4*INPUT!L4)&lt;=2.5,I1503*(M1503+0.87*(1-M1503)/SQRT(1+(B1503/C1503)^2)),I1503*(M1503+0.87*(1-M1503)/(SQRT(1+(B1503/C1503)^2)+B1503/C1503))),M1503*I1503)</f>
        <v>5277.0541860455469</v>
      </c>
    </row>
    <row r="1504">
      <c r="A1504" s="187">
        <f>A1307</f>
        <v>101</v>
      </c>
      <c r="B1504" s="174">
        <f>INPUT!AC5</f>
        <v>1587.5</v>
      </c>
      <c r="C1504" s="174">
        <f>K819</f>
        <v>2800</v>
      </c>
      <c r="D1504" s="191">
        <f>D1219</f>
        <v>700</v>
      </c>
      <c r="E1504" s="174" t="str">
        <f>IF(OR(AND(B1504&lt;=3*C1504,D1504=0),AND(B1504&lt;=1.5*C1504,D1504&gt;0)),"stiffened","unstiffened")</f>
        <v>stiffened</v>
      </c>
      <c r="F1504" s="380"/>
      <c r="G1504" s="343">
        <f>K1219</f>
        <v>12</v>
      </c>
      <c r="H1504" s="174">
        <f>E1219*K1219</f>
        <v>2822.01832606489</v>
      </c>
      <c r="I1504" s="191">
        <f>0.58*INPUT!AQ5*1000*H1504*G1504/10^6</f>
        <v>6972.6428800411295</v>
      </c>
      <c r="J1504" s="192">
        <f>IF(E1504="stiffened",5+5/(B1504/C1504)^2,5)</f>
        <v>20.554591109182219</v>
      </c>
      <c r="K1504" s="191">
        <f>H1504/G1504</f>
        <v>235.16819383874085</v>
      </c>
      <c r="L1504" s="191">
        <f>SQRT(INPUT!$B$2*J1504/INPUT!AQ5)</f>
        <v>0</v>
      </c>
      <c r="M1504" s="184">
        <f>IF(K1504&lt;=1.12*L1504,1,IF(K1504&lt;=1.4*L1504,1.12/K1504*L1504,1.57*L1504^2/K1504^2))</f>
        <v>0</v>
      </c>
      <c r="N1504" s="286">
        <f>IF(E1504="stiffened",IF(2*C1504*G1504/(INPUT!H5*INPUT!I5*INPUT!J5+INPUT!K5*INPUT!L5)&lt;=2.5,I1504*(M1504+0.87*(1-M1504)/SQRT(1+(B1504/C1504)^2)),I1504*(M1504+0.87*(1-M1504)/(SQRT(1+(B1504/C1504)^2)+B1504/C1504))),M1504*I1504)</f>
        <v>5277.0541860455469</v>
      </c>
    </row>
    <row r="1505">
      <c r="A1505" s="187">
        <f>A1308</f>
        <v>101</v>
      </c>
      <c r="B1505" s="174">
        <f>INPUT!AC6</f>
        <v>1587.5</v>
      </c>
      <c r="C1505" s="174">
        <f>K820</f>
        <v>2800</v>
      </c>
      <c r="D1505" s="191">
        <f>D1220</f>
        <v>700</v>
      </c>
      <c r="E1505" s="174" t="str">
        <f>IF(OR(AND(B1505&lt;=3*C1505,D1505=0),AND(B1505&lt;=1.5*C1505,D1505&gt;0)),"stiffened","unstiffened")</f>
        <v>stiffened</v>
      </c>
      <c r="F1505" s="380"/>
      <c r="G1505" s="343">
        <f>K1220</f>
        <v>12</v>
      </c>
      <c r="H1505" s="174">
        <f>E1220*K1220</f>
        <v>2822.01832606489</v>
      </c>
      <c r="I1505" s="191">
        <f>0.58*INPUT!AQ6*1000*H1505*G1505/10^6</f>
        <v>6972.6428800411295</v>
      </c>
      <c r="J1505" s="192">
        <f>IF(E1505="stiffened",5+5/(B1505/C1505)^2,5)</f>
        <v>20.554591109182219</v>
      </c>
      <c r="K1505" s="191">
        <f>H1505/G1505</f>
        <v>235.16819383874085</v>
      </c>
      <c r="L1505" s="191">
        <f>SQRT(INPUT!$B$2*J1505/INPUT!AQ6)</f>
        <v>0</v>
      </c>
      <c r="M1505" s="184">
        <f>IF(K1505&lt;=1.12*L1505,1,IF(K1505&lt;=1.4*L1505,1.12/K1505*L1505,1.57*L1505^2/K1505^2))</f>
        <v>0</v>
      </c>
      <c r="N1505" s="286">
        <f>IF(E1505="stiffened",IF(2*C1505*G1505/(INPUT!H6*INPUT!I6*INPUT!J6+INPUT!K6*INPUT!L6)&lt;=2.5,I1505*(M1505+0.87*(1-M1505)/SQRT(1+(B1505/C1505)^2)),I1505*(M1505+0.87*(1-M1505)/(SQRT(1+(B1505/C1505)^2)+B1505/C1505))),M1505*I1505)</f>
        <v>5277.0541860455469</v>
      </c>
    </row>
    <row r="1506">
      <c r="A1506" s="187">
        <f>A1309</f>
        <v>101</v>
      </c>
      <c r="B1506" s="174">
        <f>INPUT!AC7</f>
        <v>1587.5</v>
      </c>
      <c r="C1506" s="174">
        <f>K821</f>
        <v>2800</v>
      </c>
      <c r="D1506" s="191">
        <f>D1221</f>
        <v>700</v>
      </c>
      <c r="E1506" s="174" t="str">
        <f>IF(OR(AND(B1506&lt;=3*C1506,D1506=0),AND(B1506&lt;=1.5*C1506,D1506&gt;0)),"stiffened","unstiffened")</f>
        <v>stiffened</v>
      </c>
      <c r="F1506" s="380"/>
      <c r="G1506" s="343">
        <f>K1221</f>
        <v>12</v>
      </c>
      <c r="H1506" s="174">
        <f>E1221*K1221</f>
        <v>2822.01832606489</v>
      </c>
      <c r="I1506" s="191">
        <f>0.58*INPUT!AQ7*1000*H1506*G1506/10^6</f>
        <v>6972.6428800411295</v>
      </c>
      <c r="J1506" s="192">
        <f>IF(E1506="stiffened",5+5/(B1506/C1506)^2,5)</f>
        <v>20.554591109182219</v>
      </c>
      <c r="K1506" s="191">
        <f>H1506/G1506</f>
        <v>235.16819383874085</v>
      </c>
      <c r="L1506" s="191">
        <f>SQRT(INPUT!$B$2*J1506/INPUT!AQ7)</f>
        <v>0</v>
      </c>
      <c r="M1506" s="184">
        <f>IF(K1506&lt;=1.12*L1506,1,IF(K1506&lt;=1.4*L1506,1.12/K1506*L1506,1.57*L1506^2/K1506^2))</f>
        <v>0</v>
      </c>
      <c r="N1506" s="286">
        <f>IF(E1506="stiffened",IF(2*C1506*G1506/(INPUT!H7*INPUT!I7*INPUT!J7+INPUT!K7*INPUT!L7)&lt;=2.5,I1506*(M1506+0.87*(1-M1506)/SQRT(1+(B1506/C1506)^2)),I1506*(M1506+0.87*(1-M1506)/(SQRT(1+(B1506/C1506)^2)+B1506/C1506))),M1506*I1506)</f>
        <v>5277.0541860455469</v>
      </c>
    </row>
    <row r="1507">
      <c r="A1507" s="187">
        <f>A1310</f>
        <v>101</v>
      </c>
      <c r="B1507" s="174">
        <f>INPUT!AC8</f>
        <v>1587.5</v>
      </c>
      <c r="C1507" s="174">
        <f>K822</f>
        <v>2800</v>
      </c>
      <c r="D1507" s="191">
        <f>D1222</f>
        <v>700</v>
      </c>
      <c r="E1507" s="174" t="str">
        <f>IF(OR(AND(B1507&lt;=3*C1507,D1507=0),AND(B1507&lt;=1.5*C1507,D1507&gt;0)),"stiffened","unstiffened")</f>
        <v>stiffened</v>
      </c>
      <c r="F1507" s="380"/>
      <c r="G1507" s="343">
        <f>K1222</f>
        <v>12</v>
      </c>
      <c r="H1507" s="174">
        <f>E1222*K1222</f>
        <v>2822.01832606489</v>
      </c>
      <c r="I1507" s="191">
        <f>0.58*INPUT!AQ8*1000*H1507*G1507/10^6</f>
        <v>6972.6428800411295</v>
      </c>
      <c r="J1507" s="192">
        <f>IF(E1507="stiffened",5+5/(B1507/C1507)^2,5)</f>
        <v>20.554591109182219</v>
      </c>
      <c r="K1507" s="191">
        <f>H1507/G1507</f>
        <v>235.16819383874085</v>
      </c>
      <c r="L1507" s="191">
        <f>SQRT(INPUT!$B$2*J1507/INPUT!AQ8)</f>
        <v>0</v>
      </c>
      <c r="M1507" s="184">
        <f>IF(K1507&lt;=1.12*L1507,1,IF(K1507&lt;=1.4*L1507,1.12/K1507*L1507,1.57*L1507^2/K1507^2))</f>
        <v>0</v>
      </c>
      <c r="N1507" s="286">
        <f>IF(E1507="stiffened",IF(2*C1507*G1507/(INPUT!H8*INPUT!I8*INPUT!J8+INPUT!K8*INPUT!L8)&lt;=2.5,I1507*(M1507+0.87*(1-M1507)/SQRT(1+(B1507/C1507)^2)),I1507*(M1507+0.87*(1-M1507)/(SQRT(1+(B1507/C1507)^2)+B1507/C1507))),M1507*I1507)</f>
        <v>5277.0541860455469</v>
      </c>
    </row>
    <row r="1508">
      <c r="A1508" s="187">
        <f>A1311</f>
        <v>101</v>
      </c>
      <c r="B1508" s="174">
        <f>INPUT!AC9</f>
        <v>1587.5</v>
      </c>
      <c r="C1508" s="174">
        <f>K823</f>
        <v>2800</v>
      </c>
      <c r="D1508" s="191">
        <f>D1223</f>
        <v>700</v>
      </c>
      <c r="E1508" s="174" t="str">
        <f>IF(OR(AND(B1508&lt;=3*C1508,D1508=0),AND(B1508&lt;=1.5*C1508,D1508&gt;0)),"stiffened","unstiffened")</f>
        <v>stiffened</v>
      </c>
      <c r="F1508" s="380"/>
      <c r="G1508" s="343">
        <f>K1223</f>
        <v>12</v>
      </c>
      <c r="H1508" s="174">
        <f>E1223*K1223</f>
        <v>2822.01832606489</v>
      </c>
      <c r="I1508" s="191">
        <f>0.58*INPUT!AQ9*1000*H1508*G1508/10^6</f>
        <v>6972.6428800411295</v>
      </c>
      <c r="J1508" s="192">
        <f>IF(E1508="stiffened",5+5/(B1508/C1508)^2,5)</f>
        <v>20.554591109182219</v>
      </c>
      <c r="K1508" s="191">
        <f>H1508/G1508</f>
        <v>235.16819383874085</v>
      </c>
      <c r="L1508" s="191">
        <f>SQRT(INPUT!$B$2*J1508/INPUT!AQ9)</f>
        <v>0</v>
      </c>
      <c r="M1508" s="184">
        <f>IF(K1508&lt;=1.12*L1508,1,IF(K1508&lt;=1.4*L1508,1.12/K1508*L1508,1.57*L1508^2/K1508^2))</f>
        <v>0</v>
      </c>
      <c r="N1508" s="286">
        <f>IF(E1508="stiffened",IF(2*C1508*G1508/(INPUT!H9*INPUT!I9*INPUT!J9+INPUT!K9*INPUT!L9)&lt;=2.5,I1508*(M1508+0.87*(1-M1508)/SQRT(1+(B1508/C1508)^2)),I1508*(M1508+0.87*(1-M1508)/(SQRT(1+(B1508/C1508)^2)+B1508/C1508))),M1508*I1508)</f>
        <v>5277.0541860455469</v>
      </c>
    </row>
    <row r="1509">
      <c r="A1509" s="187">
        <f>A1312</f>
        <v>101</v>
      </c>
      <c r="B1509" s="174">
        <f>INPUT!AC10</f>
        <v>1587.5</v>
      </c>
      <c r="C1509" s="174">
        <f>K824</f>
        <v>2800</v>
      </c>
      <c r="D1509" s="191">
        <f>D1224</f>
        <v>700</v>
      </c>
      <c r="E1509" s="174" t="str">
        <f>IF(OR(AND(B1509&lt;=3*C1509,D1509=0),AND(B1509&lt;=1.5*C1509,D1509&gt;0)),"stiffened","unstiffened")</f>
        <v>stiffened</v>
      </c>
      <c r="F1509" s="380"/>
      <c r="G1509" s="343">
        <f>K1224</f>
        <v>12</v>
      </c>
      <c r="H1509" s="174">
        <f>E1224*K1224</f>
        <v>2822.01832606489</v>
      </c>
      <c r="I1509" s="191">
        <f>0.58*INPUT!AQ10*1000*H1509*G1509/10^6</f>
        <v>6972.6428800411295</v>
      </c>
      <c r="J1509" s="192">
        <f>IF(E1509="stiffened",5+5/(B1509/C1509)^2,5)</f>
        <v>20.554591109182219</v>
      </c>
      <c r="K1509" s="191">
        <f>H1509/G1509</f>
        <v>235.16819383874085</v>
      </c>
      <c r="L1509" s="191">
        <f>SQRT(INPUT!$B$2*J1509/INPUT!AQ10)</f>
        <v>0</v>
      </c>
      <c r="M1509" s="184">
        <f>IF(K1509&lt;=1.12*L1509,1,IF(K1509&lt;=1.4*L1509,1.12/K1509*L1509,1.57*L1509^2/K1509^2))</f>
        <v>0</v>
      </c>
      <c r="N1509" s="286">
        <f>IF(E1509="stiffened",IF(2*C1509*G1509/(INPUT!H10*INPUT!I10*INPUT!J10+INPUT!K10*INPUT!L10)&lt;=2.5,I1509*(M1509+0.87*(1-M1509)/SQRT(1+(B1509/C1509)^2)),I1509*(M1509+0.87*(1-M1509)/(SQRT(1+(B1509/C1509)^2)+B1509/C1509))),M1509*I1509)</f>
        <v>5277.0541860455469</v>
      </c>
    </row>
    <row r="1510">
      <c r="A1510" s="187">
        <f>A1313</f>
        <v>101</v>
      </c>
      <c r="B1510" s="174">
        <f>INPUT!AC11</f>
        <v>1587.5</v>
      </c>
      <c r="C1510" s="174">
        <f>K825</f>
        <v>2800</v>
      </c>
      <c r="D1510" s="191">
        <f>D1225</f>
        <v>700</v>
      </c>
      <c r="E1510" s="174" t="str">
        <f>IF(OR(AND(B1510&lt;=3*C1510,D1510=0),AND(B1510&lt;=1.5*C1510,D1510&gt;0)),"stiffened","unstiffened")</f>
        <v>stiffened</v>
      </c>
      <c r="F1510" s="380"/>
      <c r="G1510" s="343">
        <f>K1225</f>
        <v>12</v>
      </c>
      <c r="H1510" s="174">
        <f>E1225*K1225</f>
        <v>2822.01832606489</v>
      </c>
      <c r="I1510" s="191">
        <f>0.58*INPUT!AQ11*1000*H1510*G1510/10^6</f>
        <v>6972.6428800411295</v>
      </c>
      <c r="J1510" s="192">
        <f>IF(E1510="stiffened",5+5/(B1510/C1510)^2,5)</f>
        <v>20.554591109182219</v>
      </c>
      <c r="K1510" s="191">
        <f>H1510/G1510</f>
        <v>235.16819383874085</v>
      </c>
      <c r="L1510" s="191">
        <f>SQRT(INPUT!$B$2*J1510/INPUT!AQ11)</f>
        <v>0</v>
      </c>
      <c r="M1510" s="184">
        <f>IF(K1510&lt;=1.12*L1510,1,IF(K1510&lt;=1.4*L1510,1.12/K1510*L1510,1.57*L1510^2/K1510^2))</f>
        <v>0</v>
      </c>
      <c r="N1510" s="286">
        <f>IF(E1510="stiffened",IF(2*C1510*G1510/(INPUT!H11*INPUT!I11*INPUT!J11+INPUT!K11*INPUT!L11)&lt;=2.5,I1510*(M1510+0.87*(1-M1510)/SQRT(1+(B1510/C1510)^2)),I1510*(M1510+0.87*(1-M1510)/(SQRT(1+(B1510/C1510)^2)+B1510/C1510))),M1510*I1510)</f>
        <v>5277.0541860455469</v>
      </c>
    </row>
    <row r="1511">
      <c r="A1511" s="187">
        <f>A1314</f>
        <v>101</v>
      </c>
      <c r="B1511" s="174">
        <f>INPUT!AC12</f>
        <v>1587.5</v>
      </c>
      <c r="C1511" s="174">
        <f>K826</f>
        <v>2800</v>
      </c>
      <c r="D1511" s="191">
        <f>D1226</f>
        <v>700</v>
      </c>
      <c r="E1511" s="174" t="str">
        <f>IF(OR(AND(B1511&lt;=3*C1511,D1511=0),AND(B1511&lt;=1.5*C1511,D1511&gt;0)),"stiffened","unstiffened")</f>
        <v>stiffened</v>
      </c>
      <c r="F1511" s="380"/>
      <c r="G1511" s="343">
        <f>K1226</f>
        <v>12</v>
      </c>
      <c r="H1511" s="174">
        <f>E1226*K1226</f>
        <v>2822.01832606489</v>
      </c>
      <c r="I1511" s="191">
        <f>0.58*INPUT!AQ12*1000*H1511*G1511/10^6</f>
        <v>6972.6428800411295</v>
      </c>
      <c r="J1511" s="192">
        <f>IF(E1511="stiffened",5+5/(B1511/C1511)^2,5)</f>
        <v>20.554591109182219</v>
      </c>
      <c r="K1511" s="191">
        <f>H1511/G1511</f>
        <v>235.16819383874085</v>
      </c>
      <c r="L1511" s="191">
        <f>SQRT(INPUT!$B$2*J1511/INPUT!AQ12)</f>
        <v>0</v>
      </c>
      <c r="M1511" s="184">
        <f>IF(K1511&lt;=1.12*L1511,1,IF(K1511&lt;=1.4*L1511,1.12/K1511*L1511,1.57*L1511^2/K1511^2))</f>
        <v>0</v>
      </c>
      <c r="N1511" s="286">
        <f>IF(E1511="stiffened",IF(2*C1511*G1511/(INPUT!H12*INPUT!I12*INPUT!J12+INPUT!K12*INPUT!L12)&lt;=2.5,I1511*(M1511+0.87*(1-M1511)/SQRT(1+(B1511/C1511)^2)),I1511*(M1511+0.87*(1-M1511)/(SQRT(1+(B1511/C1511)^2)+B1511/C1511))),M1511*I1511)</f>
        <v>5277.0541860455469</v>
      </c>
    </row>
    <row r="1512">
      <c r="A1512" s="187">
        <f>A1315</f>
        <v>101</v>
      </c>
      <c r="B1512" s="174">
        <f>INPUT!AC13</f>
        <v>1587.5</v>
      </c>
      <c r="C1512" s="174">
        <f>K827</f>
        <v>2800</v>
      </c>
      <c r="D1512" s="191">
        <f>D1227</f>
        <v>700</v>
      </c>
      <c r="E1512" s="174" t="str">
        <f>IF(OR(AND(B1512&lt;=3*C1512,D1512=0),AND(B1512&lt;=1.5*C1512,D1512&gt;0)),"stiffened","unstiffened")</f>
        <v>stiffened</v>
      </c>
      <c r="F1512" s="380"/>
      <c r="G1512" s="343">
        <f>K1227</f>
        <v>12</v>
      </c>
      <c r="H1512" s="174">
        <f>E1227*K1227</f>
        <v>2822.01832606489</v>
      </c>
      <c r="I1512" s="191">
        <f>0.58*INPUT!AQ13*1000*H1512*G1512/10^6</f>
        <v>6972.6428800411295</v>
      </c>
      <c r="J1512" s="192">
        <f>IF(E1512="stiffened",5+5/(B1512/C1512)^2,5)</f>
        <v>20.554591109182219</v>
      </c>
      <c r="K1512" s="191">
        <f>H1512/G1512</f>
        <v>235.16819383874085</v>
      </c>
      <c r="L1512" s="191">
        <f>SQRT(INPUT!$B$2*J1512/INPUT!AQ13)</f>
        <v>0</v>
      </c>
      <c r="M1512" s="184">
        <f>IF(K1512&lt;=1.12*L1512,1,IF(K1512&lt;=1.4*L1512,1.12/K1512*L1512,1.57*L1512^2/K1512^2))</f>
        <v>0</v>
      </c>
      <c r="N1512" s="286">
        <f>IF(E1512="stiffened",IF(2*C1512*G1512/(INPUT!H13*INPUT!I13*INPUT!J13+INPUT!K13*INPUT!L13)&lt;=2.5,I1512*(M1512+0.87*(1-M1512)/SQRT(1+(B1512/C1512)^2)),I1512*(M1512+0.87*(1-M1512)/(SQRT(1+(B1512/C1512)^2)+B1512/C1512))),M1512*I1512)</f>
        <v>5277.0541860455469</v>
      </c>
    </row>
    <row r="1513">
      <c r="A1513" s="187">
        <f>A1316</f>
        <v>101</v>
      </c>
      <c r="B1513" s="174">
        <f>INPUT!AC14</f>
        <v>1587.5</v>
      </c>
      <c r="C1513" s="174">
        <f>K828</f>
        <v>2800</v>
      </c>
      <c r="D1513" s="191">
        <f>D1228</f>
        <v>700</v>
      </c>
      <c r="E1513" s="174" t="str">
        <f>IF(OR(AND(B1513&lt;=3*C1513,D1513=0),AND(B1513&lt;=1.5*C1513,D1513&gt;0)),"stiffened","unstiffened")</f>
        <v>stiffened</v>
      </c>
      <c r="F1513" s="380"/>
      <c r="G1513" s="343">
        <f>K1228</f>
        <v>12</v>
      </c>
      <c r="H1513" s="174">
        <f>E1228*K1228</f>
        <v>2822.01832606489</v>
      </c>
      <c r="I1513" s="191">
        <f>0.58*INPUT!AQ14*1000*H1513*G1513/10^6</f>
        <v>6972.6428800411295</v>
      </c>
      <c r="J1513" s="192">
        <f>IF(E1513="stiffened",5+5/(B1513/C1513)^2,5)</f>
        <v>20.554591109182219</v>
      </c>
      <c r="K1513" s="191">
        <f>H1513/G1513</f>
        <v>235.16819383874085</v>
      </c>
      <c r="L1513" s="191">
        <f>SQRT(INPUT!$B$2*J1513/INPUT!AQ14)</f>
        <v>0</v>
      </c>
      <c r="M1513" s="184">
        <f>IF(K1513&lt;=1.12*L1513,1,IF(K1513&lt;=1.4*L1513,1.12/K1513*L1513,1.57*L1513^2/K1513^2))</f>
        <v>0</v>
      </c>
      <c r="N1513" s="286">
        <f>IF(E1513="stiffened",IF(2*C1513*G1513/(INPUT!H14*INPUT!I14*INPUT!J14+INPUT!K14*INPUT!L14)&lt;=2.5,I1513*(M1513+0.87*(1-M1513)/SQRT(1+(B1513/C1513)^2)),I1513*(M1513+0.87*(1-M1513)/(SQRT(1+(B1513/C1513)^2)+B1513/C1513))),M1513*I1513)</f>
        <v>5277.0541860455469</v>
      </c>
    </row>
    <row r="1514">
      <c r="A1514" s="187">
        <f>A1317</f>
        <v>101</v>
      </c>
      <c r="B1514" s="174">
        <f>INPUT!AC15</f>
        <v>1587.5</v>
      </c>
      <c r="C1514" s="174">
        <f>K829</f>
        <v>2800</v>
      </c>
      <c r="D1514" s="191">
        <f>D1229</f>
        <v>700</v>
      </c>
      <c r="E1514" s="174" t="str">
        <f>IF(OR(AND(B1514&lt;=3*C1514,D1514=0),AND(B1514&lt;=1.5*C1514,D1514&gt;0)),"stiffened","unstiffened")</f>
        <v>stiffened</v>
      </c>
      <c r="F1514" s="380"/>
      <c r="G1514" s="343">
        <f>K1229</f>
        <v>12</v>
      </c>
      <c r="H1514" s="174">
        <f>E1229*K1229</f>
        <v>2822.01832606489</v>
      </c>
      <c r="I1514" s="191">
        <f>0.58*INPUT!AQ15*1000*H1514*G1514/10^6</f>
        <v>6972.6428800411295</v>
      </c>
      <c r="J1514" s="192">
        <f>IF(E1514="stiffened",5+5/(B1514/C1514)^2,5)</f>
        <v>20.554591109182219</v>
      </c>
      <c r="K1514" s="191">
        <f>H1514/G1514</f>
        <v>235.16819383874085</v>
      </c>
      <c r="L1514" s="191">
        <f>SQRT(INPUT!$B$2*J1514/INPUT!AQ15)</f>
        <v>0</v>
      </c>
      <c r="M1514" s="184">
        <f>IF(K1514&lt;=1.12*L1514,1,IF(K1514&lt;=1.4*L1514,1.12/K1514*L1514,1.57*L1514^2/K1514^2))</f>
        <v>0</v>
      </c>
      <c r="N1514" s="286">
        <f>IF(E1514="stiffened",IF(2*C1514*G1514/(INPUT!H15*INPUT!I15*INPUT!J15+INPUT!K15*INPUT!L15)&lt;=2.5,I1514*(M1514+0.87*(1-M1514)/SQRT(1+(B1514/C1514)^2)),I1514*(M1514+0.87*(1-M1514)/(SQRT(1+(B1514/C1514)^2)+B1514/C1514))),M1514*I1514)</f>
        <v>5277.0541860455469</v>
      </c>
    </row>
    <row r="1515">
      <c r="A1515" s="187">
        <f>A1318</f>
        <v>101</v>
      </c>
      <c r="B1515" s="174">
        <f>INPUT!AC16</f>
        <v>1587.5</v>
      </c>
      <c r="C1515" s="174">
        <f>K830</f>
        <v>2800</v>
      </c>
      <c r="D1515" s="191">
        <f>D1230</f>
        <v>700</v>
      </c>
      <c r="E1515" s="174" t="str">
        <f>IF(OR(AND(B1515&lt;=3*C1515,D1515=0),AND(B1515&lt;=1.5*C1515,D1515&gt;0)),"stiffened","unstiffened")</f>
        <v>stiffened</v>
      </c>
      <c r="F1515" s="380"/>
      <c r="G1515" s="343">
        <f>K1230</f>
        <v>12</v>
      </c>
      <c r="H1515" s="174">
        <f>E1230*K1230</f>
        <v>2822.01832606489</v>
      </c>
      <c r="I1515" s="191">
        <f>0.58*INPUT!AQ16*1000*H1515*G1515/10^6</f>
        <v>6972.6428800411295</v>
      </c>
      <c r="J1515" s="192">
        <f>IF(E1515="stiffened",5+5/(B1515/C1515)^2,5)</f>
        <v>20.554591109182219</v>
      </c>
      <c r="K1515" s="191">
        <f>H1515/G1515</f>
        <v>235.16819383874085</v>
      </c>
      <c r="L1515" s="191">
        <f>SQRT(INPUT!$B$2*J1515/INPUT!AQ16)</f>
        <v>0</v>
      </c>
      <c r="M1515" s="184">
        <f>IF(K1515&lt;=1.12*L1515,1,IF(K1515&lt;=1.4*L1515,1.12/K1515*L1515,1.57*L1515^2/K1515^2))</f>
        <v>0</v>
      </c>
      <c r="N1515" s="286">
        <f>IF(E1515="stiffened",IF(2*C1515*G1515/(INPUT!H16*INPUT!I16*INPUT!J16+INPUT!K16*INPUT!L16)&lt;=2.5,I1515*(M1515+0.87*(1-M1515)/SQRT(1+(B1515/C1515)^2)),I1515*(M1515+0.87*(1-M1515)/(SQRT(1+(B1515/C1515)^2)+B1515/C1515))),M1515*I1515)</f>
        <v>5277.0541860455469</v>
      </c>
    </row>
    <row r="1516">
      <c r="A1516" s="187">
        <f>A1319</f>
        <v>101</v>
      </c>
      <c r="B1516" s="174">
        <f>INPUT!AC17</f>
        <v>1587.5</v>
      </c>
      <c r="C1516" s="174">
        <f>K831</f>
        <v>2800</v>
      </c>
      <c r="D1516" s="191">
        <f>D1231</f>
        <v>700</v>
      </c>
      <c r="E1516" s="174" t="str">
        <f>IF(OR(AND(B1516&lt;=3*C1516,D1516=0),AND(B1516&lt;=1.5*C1516,D1516&gt;0)),"stiffened","unstiffened")</f>
        <v>stiffened</v>
      </c>
      <c r="F1516" s="380"/>
      <c r="G1516" s="343">
        <f>K1231</f>
        <v>12</v>
      </c>
      <c r="H1516" s="174">
        <f>E1231*K1231</f>
        <v>2822.01832606489</v>
      </c>
      <c r="I1516" s="191">
        <f>0.58*INPUT!AQ17*1000*H1516*G1516/10^6</f>
        <v>6972.6428800411295</v>
      </c>
      <c r="J1516" s="192">
        <f>IF(E1516="stiffened",5+5/(B1516/C1516)^2,5)</f>
        <v>20.554591109182219</v>
      </c>
      <c r="K1516" s="191">
        <f>H1516/G1516</f>
        <v>235.16819383874085</v>
      </c>
      <c r="L1516" s="191">
        <f>SQRT(INPUT!$B$2*J1516/INPUT!AQ17)</f>
        <v>0</v>
      </c>
      <c r="M1516" s="184">
        <f>IF(K1516&lt;=1.12*L1516,1,IF(K1516&lt;=1.4*L1516,1.12/K1516*L1516,1.57*L1516^2/K1516^2))</f>
        <v>0</v>
      </c>
      <c r="N1516" s="286">
        <f>IF(E1516="stiffened",IF(2*C1516*G1516/(INPUT!H17*INPUT!I17*INPUT!J17+INPUT!K17*INPUT!L17)&lt;=2.5,I1516*(M1516+0.87*(1-M1516)/SQRT(1+(B1516/C1516)^2)),I1516*(M1516+0.87*(1-M1516)/(SQRT(1+(B1516/C1516)^2)+B1516/C1516))),M1516*I1516)</f>
        <v>5277.0541860455469</v>
      </c>
    </row>
    <row r="1517">
      <c r="A1517" s="187">
        <f>A1320</f>
        <v>101</v>
      </c>
      <c r="B1517" s="174">
        <f>INPUT!AC18</f>
        <v>1587.5</v>
      </c>
      <c r="C1517" s="174">
        <f>K832</f>
        <v>2800</v>
      </c>
      <c r="D1517" s="191">
        <f>D1232</f>
        <v>700</v>
      </c>
      <c r="E1517" s="174" t="str">
        <f>IF(OR(AND(B1517&lt;=3*C1517,D1517=0),AND(B1517&lt;=1.5*C1517,D1517&gt;0)),"stiffened","unstiffened")</f>
        <v>stiffened</v>
      </c>
      <c r="F1517" s="380"/>
      <c r="G1517" s="343">
        <f>K1232</f>
        <v>12</v>
      </c>
      <c r="H1517" s="174">
        <f>E1232*K1232</f>
        <v>2822.01832606489</v>
      </c>
      <c r="I1517" s="191">
        <f>0.58*INPUT!AQ18*1000*H1517*G1517/10^6</f>
        <v>6972.6428800411295</v>
      </c>
      <c r="J1517" s="192">
        <f>IF(E1517="stiffened",5+5/(B1517/C1517)^2,5)</f>
        <v>20.554591109182219</v>
      </c>
      <c r="K1517" s="191">
        <f>H1517/G1517</f>
        <v>235.16819383874085</v>
      </c>
      <c r="L1517" s="191">
        <f>SQRT(INPUT!$B$2*J1517/INPUT!AQ18)</f>
        <v>0</v>
      </c>
      <c r="M1517" s="184">
        <f>IF(K1517&lt;=1.12*L1517,1,IF(K1517&lt;=1.4*L1517,1.12/K1517*L1517,1.57*L1517^2/K1517^2))</f>
        <v>0</v>
      </c>
      <c r="N1517" s="286">
        <f>IF(E1517="stiffened",IF(2*C1517*G1517/(INPUT!H18*INPUT!I18*INPUT!J18+INPUT!K18*INPUT!L18)&lt;=2.5,I1517*(M1517+0.87*(1-M1517)/SQRT(1+(B1517/C1517)^2)),I1517*(M1517+0.87*(1-M1517)/(SQRT(1+(B1517/C1517)^2)+B1517/C1517))),M1517*I1517)</f>
        <v>5277.0541860455469</v>
      </c>
    </row>
    <row r="1518">
      <c r="A1518" s="187">
        <f>A1321</f>
        <v>101</v>
      </c>
      <c r="B1518" s="174">
        <f>INPUT!AC19</f>
        <v>1587.5</v>
      </c>
      <c r="C1518" s="174">
        <f>K833</f>
        <v>2800</v>
      </c>
      <c r="D1518" s="191">
        <f>D1233</f>
        <v>700</v>
      </c>
      <c r="E1518" s="174" t="str">
        <f>IF(OR(AND(B1518&lt;=3*C1518,D1518=0),AND(B1518&lt;=1.5*C1518,D1518&gt;0)),"stiffened","unstiffened")</f>
        <v>stiffened</v>
      </c>
      <c r="F1518" s="380"/>
      <c r="G1518" s="343">
        <f>K1233</f>
        <v>12</v>
      </c>
      <c r="H1518" s="174">
        <f>E1233*K1233</f>
        <v>2822.01832606489</v>
      </c>
      <c r="I1518" s="191">
        <f>0.58*INPUT!AQ19*1000*H1518*G1518/10^6</f>
        <v>6972.6428800411295</v>
      </c>
      <c r="J1518" s="192">
        <f>IF(E1518="stiffened",5+5/(B1518/C1518)^2,5)</f>
        <v>20.554591109182219</v>
      </c>
      <c r="K1518" s="191">
        <f>H1518/G1518</f>
        <v>235.16819383874085</v>
      </c>
      <c r="L1518" s="191">
        <f>SQRT(INPUT!$B$2*J1518/INPUT!AQ19)</f>
        <v>0</v>
      </c>
      <c r="M1518" s="184">
        <f>IF(K1518&lt;=1.12*L1518,1,IF(K1518&lt;=1.4*L1518,1.12/K1518*L1518,1.57*L1518^2/K1518^2))</f>
        <v>0</v>
      </c>
      <c r="N1518" s="286">
        <f>IF(E1518="stiffened",IF(2*C1518*G1518/(INPUT!H19*INPUT!I19*INPUT!J19+INPUT!K19*INPUT!L19)&lt;=2.5,I1518*(M1518+0.87*(1-M1518)/SQRT(1+(B1518/C1518)^2)),I1518*(M1518+0.87*(1-M1518)/(SQRT(1+(B1518/C1518)^2)+B1518/C1518))),M1518*I1518)</f>
        <v>5277.0541860455469</v>
      </c>
    </row>
    <row r="1519">
      <c r="A1519" s="187">
        <f>A1322</f>
        <v>101</v>
      </c>
      <c r="B1519" s="174">
        <f>INPUT!AC20</f>
        <v>1587.5</v>
      </c>
      <c r="C1519" s="174">
        <f>K834</f>
        <v>2800</v>
      </c>
      <c r="D1519" s="191">
        <f>D1234</f>
        <v>700</v>
      </c>
      <c r="E1519" s="174" t="str">
        <f>IF(OR(AND(B1519&lt;=3*C1519,D1519=0),AND(B1519&lt;=1.5*C1519,D1519&gt;0)),"stiffened","unstiffened")</f>
        <v>stiffened</v>
      </c>
      <c r="F1519" s="380"/>
      <c r="G1519" s="343">
        <f>K1234</f>
        <v>12</v>
      </c>
      <c r="H1519" s="174">
        <f>E1234*K1234</f>
        <v>2822.01832606489</v>
      </c>
      <c r="I1519" s="191">
        <f>0.58*INPUT!AQ20*1000*H1519*G1519/10^6</f>
        <v>6972.6428800411295</v>
      </c>
      <c r="J1519" s="192">
        <f>IF(E1519="stiffened",5+5/(B1519/C1519)^2,5)</f>
        <v>20.554591109182219</v>
      </c>
      <c r="K1519" s="191">
        <f>H1519/G1519</f>
        <v>235.16819383874085</v>
      </c>
      <c r="L1519" s="191">
        <f>SQRT(INPUT!$B$2*J1519/INPUT!AQ20)</f>
        <v>0</v>
      </c>
      <c r="M1519" s="184">
        <f>IF(K1519&lt;=1.12*L1519,1,IF(K1519&lt;=1.4*L1519,1.12/K1519*L1519,1.57*L1519^2/K1519^2))</f>
        <v>0</v>
      </c>
      <c r="N1519" s="286">
        <f>IF(E1519="stiffened",IF(2*C1519*G1519/(INPUT!H20*INPUT!I20*INPUT!J20+INPUT!K20*INPUT!L20)&lt;=2.5,I1519*(M1519+0.87*(1-M1519)/SQRT(1+(B1519/C1519)^2)),I1519*(M1519+0.87*(1-M1519)/(SQRT(1+(B1519/C1519)^2)+B1519/C1519))),M1519*I1519)</f>
        <v>5277.0541860455469</v>
      </c>
    </row>
    <row r="1520">
      <c r="A1520" s="187">
        <f>A1323</f>
        <v>101</v>
      </c>
      <c r="B1520" s="174">
        <f>INPUT!AC21</f>
        <v>1587.5</v>
      </c>
      <c r="C1520" s="174">
        <f>K835</f>
        <v>2800</v>
      </c>
      <c r="D1520" s="191">
        <f>D1235</f>
        <v>700</v>
      </c>
      <c r="E1520" s="174" t="str">
        <f>IF(OR(AND(B1520&lt;=3*C1520,D1520=0),AND(B1520&lt;=1.5*C1520,D1520&gt;0)),"stiffened","unstiffened")</f>
        <v>stiffened</v>
      </c>
      <c r="F1520" s="380"/>
      <c r="G1520" s="343">
        <f>K1235</f>
        <v>12</v>
      </c>
      <c r="H1520" s="174">
        <f>E1235*K1235</f>
        <v>2822.01832606489</v>
      </c>
      <c r="I1520" s="191">
        <f>0.58*INPUT!AQ21*1000*H1520*G1520/10^6</f>
        <v>6972.6428800411295</v>
      </c>
      <c r="J1520" s="192">
        <f>IF(E1520="stiffened",5+5/(B1520/C1520)^2,5)</f>
        <v>20.554591109182219</v>
      </c>
      <c r="K1520" s="191">
        <f>H1520/G1520</f>
        <v>235.16819383874085</v>
      </c>
      <c r="L1520" s="191">
        <f>SQRT(INPUT!$B$2*J1520/INPUT!AQ21)</f>
        <v>0</v>
      </c>
      <c r="M1520" s="184">
        <f>IF(K1520&lt;=1.12*L1520,1,IF(K1520&lt;=1.4*L1520,1.12/K1520*L1520,1.57*L1520^2/K1520^2))</f>
        <v>0</v>
      </c>
      <c r="N1520" s="286">
        <f>IF(E1520="stiffened",IF(2*C1520*G1520/(INPUT!H21*INPUT!I21*INPUT!J21+INPUT!K21*INPUT!L21)&lt;=2.5,I1520*(M1520+0.87*(1-M1520)/SQRT(1+(B1520/C1520)^2)),I1520*(M1520+0.87*(1-M1520)/(SQRT(1+(B1520/C1520)^2)+B1520/C1520))),M1520*I1520)</f>
        <v>5277.0541860455469</v>
      </c>
    </row>
    <row r="1521">
      <c r="A1521" s="187">
        <f>A1324</f>
        <v>101</v>
      </c>
      <c r="B1521" s="174">
        <f>INPUT!AC22</f>
        <v>1587.5</v>
      </c>
      <c r="C1521" s="174">
        <f>K836</f>
        <v>2800</v>
      </c>
      <c r="D1521" s="191">
        <f>D1236</f>
        <v>700</v>
      </c>
      <c r="E1521" s="174" t="str">
        <f>IF(OR(AND(B1521&lt;=3*C1521,D1521=0),AND(B1521&lt;=1.5*C1521,D1521&gt;0)),"stiffened","unstiffened")</f>
        <v>stiffened</v>
      </c>
      <c r="F1521" s="380"/>
      <c r="G1521" s="343">
        <f>K1236</f>
        <v>12</v>
      </c>
      <c r="H1521" s="174">
        <f>E1236*K1236</f>
        <v>2822.01832606489</v>
      </c>
      <c r="I1521" s="191">
        <f>0.58*INPUT!AQ22*1000*H1521*G1521/10^6</f>
        <v>6972.6428800411295</v>
      </c>
      <c r="J1521" s="192">
        <f>IF(E1521="stiffened",5+5/(B1521/C1521)^2,5)</f>
        <v>20.554591109182219</v>
      </c>
      <c r="K1521" s="191">
        <f>H1521/G1521</f>
        <v>235.16819383874085</v>
      </c>
      <c r="L1521" s="191">
        <f>SQRT(INPUT!$B$2*J1521/INPUT!AQ22)</f>
        <v>0</v>
      </c>
      <c r="M1521" s="184">
        <f>IF(K1521&lt;=1.12*L1521,1,IF(K1521&lt;=1.4*L1521,1.12/K1521*L1521,1.57*L1521^2/K1521^2))</f>
        <v>0</v>
      </c>
      <c r="N1521" s="286">
        <f>IF(E1521="stiffened",IF(2*C1521*G1521/(INPUT!H22*INPUT!I22*INPUT!J22+INPUT!K22*INPUT!L22)&lt;=2.5,I1521*(M1521+0.87*(1-M1521)/SQRT(1+(B1521/C1521)^2)),I1521*(M1521+0.87*(1-M1521)/(SQRT(1+(B1521/C1521)^2)+B1521/C1521))),M1521*I1521)</f>
        <v>5277.0541860455469</v>
      </c>
    </row>
    <row r="1522">
      <c r="A1522" s="187">
        <f>A1325</f>
        <v>101</v>
      </c>
      <c r="B1522" s="174">
        <f>INPUT!AC23</f>
        <v>1587.5</v>
      </c>
      <c r="C1522" s="174">
        <f>K837</f>
        <v>2800</v>
      </c>
      <c r="D1522" s="191">
        <f>D1237</f>
        <v>700</v>
      </c>
      <c r="E1522" s="174" t="str">
        <f>IF(OR(AND(B1522&lt;=3*C1522,D1522=0),AND(B1522&lt;=1.5*C1522,D1522&gt;0)),"stiffened","unstiffened")</f>
        <v>stiffened</v>
      </c>
      <c r="F1522" s="380"/>
      <c r="G1522" s="343">
        <f>K1237</f>
        <v>12</v>
      </c>
      <c r="H1522" s="174">
        <f>E1237*K1237</f>
        <v>2822.01832606489</v>
      </c>
      <c r="I1522" s="191">
        <f>0.58*INPUT!AQ23*1000*H1522*G1522/10^6</f>
        <v>6972.6428800411295</v>
      </c>
      <c r="J1522" s="192">
        <f>IF(E1522="stiffened",5+5/(B1522/C1522)^2,5)</f>
        <v>20.554591109182219</v>
      </c>
      <c r="K1522" s="191">
        <f>H1522/G1522</f>
        <v>235.16819383874085</v>
      </c>
      <c r="L1522" s="191">
        <f>SQRT(INPUT!$B$2*J1522/INPUT!AQ23)</f>
        <v>0</v>
      </c>
      <c r="M1522" s="184">
        <f>IF(K1522&lt;=1.12*L1522,1,IF(K1522&lt;=1.4*L1522,1.12/K1522*L1522,1.57*L1522^2/K1522^2))</f>
        <v>0</v>
      </c>
      <c r="N1522" s="286">
        <f>IF(E1522="stiffened",IF(2*C1522*G1522/(INPUT!H23*INPUT!I23*INPUT!J23+INPUT!K23*INPUT!L23)&lt;=2.5,I1522*(M1522+0.87*(1-M1522)/SQRT(1+(B1522/C1522)^2)),I1522*(M1522+0.87*(1-M1522)/(SQRT(1+(B1522/C1522)^2)+B1522/C1522))),M1522*I1522)</f>
        <v>5277.0541860455469</v>
      </c>
    </row>
    <row r="1523">
      <c r="A1523" s="187">
        <f>A1326</f>
        <v>101</v>
      </c>
      <c r="B1523" s="174">
        <f>INPUT!AC24</f>
        <v>1587.5</v>
      </c>
      <c r="C1523" s="174">
        <f>K838</f>
        <v>2800</v>
      </c>
      <c r="D1523" s="191">
        <f>D1238</f>
        <v>700</v>
      </c>
      <c r="E1523" s="174" t="str">
        <f>IF(OR(AND(B1523&lt;=3*C1523,D1523=0),AND(B1523&lt;=1.5*C1523,D1523&gt;0)),"stiffened","unstiffened")</f>
        <v>stiffened</v>
      </c>
      <c r="F1523" s="380"/>
      <c r="G1523" s="343">
        <f>K1238</f>
        <v>12</v>
      </c>
      <c r="H1523" s="174">
        <f>E1238*K1238</f>
        <v>2822.01832606489</v>
      </c>
      <c r="I1523" s="191">
        <f>0.58*INPUT!AQ24*1000*H1523*G1523/10^6</f>
        <v>6972.6428800411295</v>
      </c>
      <c r="J1523" s="192">
        <f>IF(E1523="stiffened",5+5/(B1523/C1523)^2,5)</f>
        <v>20.554591109182219</v>
      </c>
      <c r="K1523" s="191">
        <f>H1523/G1523</f>
        <v>235.16819383874085</v>
      </c>
      <c r="L1523" s="191">
        <f>SQRT(INPUT!$B$2*J1523/INPUT!AQ24)</f>
        <v>0</v>
      </c>
      <c r="M1523" s="184">
        <f>IF(K1523&lt;=1.12*L1523,1,IF(K1523&lt;=1.4*L1523,1.12/K1523*L1523,1.57*L1523^2/K1523^2))</f>
        <v>0</v>
      </c>
      <c r="N1523" s="286">
        <f>IF(E1523="stiffened",IF(2*C1523*G1523/(INPUT!H24*INPUT!I24*INPUT!J24+INPUT!K24*INPUT!L24)&lt;=2.5,I1523*(M1523+0.87*(1-M1523)/SQRT(1+(B1523/C1523)^2)),I1523*(M1523+0.87*(1-M1523)/(SQRT(1+(B1523/C1523)^2)+B1523/C1523))),M1523*I1523)</f>
        <v>5277.0541860455469</v>
      </c>
    </row>
    <row r="1524">
      <c r="A1524" s="187">
        <f>A1327</f>
        <v>101</v>
      </c>
      <c r="B1524" s="174">
        <f>INPUT!AC25</f>
        <v>1587.5</v>
      </c>
      <c r="C1524" s="174">
        <f>K839</f>
        <v>2800</v>
      </c>
      <c r="D1524" s="191">
        <f>D1239</f>
        <v>700</v>
      </c>
      <c r="E1524" s="174" t="str">
        <f>IF(OR(AND(B1524&lt;=3*C1524,D1524=0),AND(B1524&lt;=1.5*C1524,D1524&gt;0)),"stiffened","unstiffened")</f>
        <v>stiffened</v>
      </c>
      <c r="F1524" s="380"/>
      <c r="G1524" s="343">
        <f>K1239</f>
        <v>12</v>
      </c>
      <c r="H1524" s="174">
        <f>E1239*K1239</f>
        <v>2822.01832606489</v>
      </c>
      <c r="I1524" s="191">
        <f>0.58*INPUT!AQ25*1000*H1524*G1524/10^6</f>
        <v>6972.6428800411295</v>
      </c>
      <c r="J1524" s="192">
        <f>IF(E1524="stiffened",5+5/(B1524/C1524)^2,5)</f>
        <v>20.554591109182219</v>
      </c>
      <c r="K1524" s="191">
        <f>H1524/G1524</f>
        <v>235.16819383874085</v>
      </c>
      <c r="L1524" s="191">
        <f>SQRT(INPUT!$B$2*J1524/INPUT!AQ25)</f>
        <v>0</v>
      </c>
      <c r="M1524" s="184">
        <f>IF(K1524&lt;=1.12*L1524,1,IF(K1524&lt;=1.4*L1524,1.12/K1524*L1524,1.57*L1524^2/K1524^2))</f>
        <v>0</v>
      </c>
      <c r="N1524" s="286">
        <f>IF(E1524="stiffened",IF(2*C1524*G1524/(INPUT!H25*INPUT!I25*INPUT!J25+INPUT!K25*INPUT!L25)&lt;=2.5,I1524*(M1524+0.87*(1-M1524)/SQRT(1+(B1524/C1524)^2)),I1524*(M1524+0.87*(1-M1524)/(SQRT(1+(B1524/C1524)^2)+B1524/C1524))),M1524*I1524)</f>
        <v>5277.0541860455469</v>
      </c>
    </row>
    <row r="1525">
      <c r="A1525" s="187">
        <f>A1328</f>
        <v>101</v>
      </c>
      <c r="B1525" s="174">
        <f>INPUT!AC26</f>
        <v>1587.5</v>
      </c>
      <c r="C1525" s="174">
        <f>K840</f>
        <v>2800</v>
      </c>
      <c r="D1525" s="191">
        <f>D1240</f>
        <v>700</v>
      </c>
      <c r="E1525" s="174" t="str">
        <f>IF(OR(AND(B1525&lt;=3*C1525,D1525=0),AND(B1525&lt;=1.5*C1525,D1525&gt;0)),"stiffened","unstiffened")</f>
        <v>stiffened</v>
      </c>
      <c r="F1525" s="380"/>
      <c r="G1525" s="343">
        <f>K1240</f>
        <v>12</v>
      </c>
      <c r="H1525" s="174">
        <f>E1240*K1240</f>
        <v>2822.01832606489</v>
      </c>
      <c r="I1525" s="191">
        <f>0.58*INPUT!AQ26*1000*H1525*G1525/10^6</f>
        <v>6972.6428800411295</v>
      </c>
      <c r="J1525" s="192">
        <f>IF(E1525="stiffened",5+5/(B1525/C1525)^2,5)</f>
        <v>20.554591109182219</v>
      </c>
      <c r="K1525" s="191">
        <f>H1525/G1525</f>
        <v>235.16819383874085</v>
      </c>
      <c r="L1525" s="191">
        <f>SQRT(INPUT!$B$2*J1525/INPUT!AQ26)</f>
        <v>0</v>
      </c>
      <c r="M1525" s="184">
        <f>IF(K1525&lt;=1.12*L1525,1,IF(K1525&lt;=1.4*L1525,1.12/K1525*L1525,1.57*L1525^2/K1525^2))</f>
        <v>0</v>
      </c>
      <c r="N1525" s="286">
        <f>IF(E1525="stiffened",IF(2*C1525*G1525/(INPUT!H26*INPUT!I26*INPUT!J26+INPUT!K26*INPUT!L26)&lt;=2.5,I1525*(M1525+0.87*(1-M1525)/SQRT(1+(B1525/C1525)^2)),I1525*(M1525+0.87*(1-M1525)/(SQRT(1+(B1525/C1525)^2)+B1525/C1525))),M1525*I1525)</f>
        <v>5277.0541860455469</v>
      </c>
    </row>
    <row r="1526">
      <c r="A1526" s="187">
        <f>A1329</f>
        <v>101</v>
      </c>
      <c r="B1526" s="174">
        <f>INPUT!AC27</f>
        <v>1587.5</v>
      </c>
      <c r="C1526" s="174">
        <f>K841</f>
        <v>2800</v>
      </c>
      <c r="D1526" s="191">
        <f>D1241</f>
        <v>700</v>
      </c>
      <c r="E1526" s="174" t="str">
        <f>IF(OR(AND(B1526&lt;=3*C1526,D1526=0),AND(B1526&lt;=1.5*C1526,D1526&gt;0)),"stiffened","unstiffened")</f>
        <v>stiffened</v>
      </c>
      <c r="F1526" s="380"/>
      <c r="G1526" s="343">
        <f>K1241</f>
        <v>12</v>
      </c>
      <c r="H1526" s="174">
        <f>E1241*K1241</f>
        <v>2822.01832606489</v>
      </c>
      <c r="I1526" s="191">
        <f>0.58*INPUT!AQ27*1000*H1526*G1526/10^6</f>
        <v>6972.6428800411295</v>
      </c>
      <c r="J1526" s="192">
        <f>IF(E1526="stiffened",5+5/(B1526/C1526)^2,5)</f>
        <v>20.554591109182219</v>
      </c>
      <c r="K1526" s="191">
        <f>H1526/G1526</f>
        <v>235.16819383874085</v>
      </c>
      <c r="L1526" s="191">
        <f>SQRT(INPUT!$B$2*J1526/INPUT!AQ27)</f>
        <v>0</v>
      </c>
      <c r="M1526" s="184">
        <f>IF(K1526&lt;=1.12*L1526,1,IF(K1526&lt;=1.4*L1526,1.12/K1526*L1526,1.57*L1526^2/K1526^2))</f>
        <v>0</v>
      </c>
      <c r="N1526" s="286">
        <f>IF(E1526="stiffened",IF(2*C1526*G1526/(INPUT!H27*INPUT!I27*INPUT!J27+INPUT!K27*INPUT!L27)&lt;=2.5,I1526*(M1526+0.87*(1-M1526)/SQRT(1+(B1526/C1526)^2)),I1526*(M1526+0.87*(1-M1526)/(SQRT(1+(B1526/C1526)^2)+B1526/C1526))),M1526*I1526)</f>
        <v>5277.0541860455469</v>
      </c>
    </row>
    <row r="1527">
      <c r="A1527" s="187">
        <f>A1330</f>
        <v>101</v>
      </c>
      <c r="B1527" s="174">
        <f>INPUT!AC28</f>
        <v>1587.5</v>
      </c>
      <c r="C1527" s="174">
        <f>K842</f>
        <v>2800</v>
      </c>
      <c r="D1527" s="191">
        <f>D1242</f>
        <v>700</v>
      </c>
      <c r="E1527" s="174" t="str">
        <f>IF(OR(AND(B1527&lt;=3*C1527,D1527=0),AND(B1527&lt;=1.5*C1527,D1527&gt;0)),"stiffened","unstiffened")</f>
        <v>stiffened</v>
      </c>
      <c r="F1527" s="380"/>
      <c r="G1527" s="343">
        <f>K1242</f>
        <v>12</v>
      </c>
      <c r="H1527" s="174">
        <f>E1242*K1242</f>
        <v>2822.01832606489</v>
      </c>
      <c r="I1527" s="191">
        <f>0.58*INPUT!AQ28*1000*H1527*G1527/10^6</f>
        <v>6972.6428800411295</v>
      </c>
      <c r="J1527" s="192">
        <f>IF(E1527="stiffened",5+5/(B1527/C1527)^2,5)</f>
        <v>20.554591109182219</v>
      </c>
      <c r="K1527" s="191">
        <f>H1527/G1527</f>
        <v>235.16819383874085</v>
      </c>
      <c r="L1527" s="191">
        <f>SQRT(INPUT!$B$2*J1527/INPUT!AQ28)</f>
        <v>0</v>
      </c>
      <c r="M1527" s="184">
        <f>IF(K1527&lt;=1.12*L1527,1,IF(K1527&lt;=1.4*L1527,1.12/K1527*L1527,1.57*L1527^2/K1527^2))</f>
        <v>0</v>
      </c>
      <c r="N1527" s="286">
        <f>IF(E1527="stiffened",IF(2*C1527*G1527/(INPUT!H28*INPUT!I28*INPUT!J28+INPUT!K28*INPUT!L28)&lt;=2.5,I1527*(M1527+0.87*(1-M1527)/SQRT(1+(B1527/C1527)^2)),I1527*(M1527+0.87*(1-M1527)/(SQRT(1+(B1527/C1527)^2)+B1527/C1527))),M1527*I1527)</f>
        <v>5277.0541860455469</v>
      </c>
    </row>
    <row r="1528">
      <c r="A1528" s="187">
        <f>A1331</f>
        <v>101</v>
      </c>
      <c r="B1528" s="174">
        <f>INPUT!AC29</f>
        <v>1587.5</v>
      </c>
      <c r="C1528" s="174">
        <f>K843</f>
        <v>2800</v>
      </c>
      <c r="D1528" s="191">
        <f>D1243</f>
        <v>700</v>
      </c>
      <c r="E1528" s="174" t="str">
        <f>IF(OR(AND(B1528&lt;=3*C1528,D1528=0),AND(B1528&lt;=1.5*C1528,D1528&gt;0)),"stiffened","unstiffened")</f>
        <v>stiffened</v>
      </c>
      <c r="F1528" s="380"/>
      <c r="G1528" s="343">
        <f>K1243</f>
        <v>12</v>
      </c>
      <c r="H1528" s="174">
        <f>E1243*K1243</f>
        <v>2822.01832606489</v>
      </c>
      <c r="I1528" s="191">
        <f>0.58*INPUT!AQ29*1000*H1528*G1528/10^6</f>
        <v>6972.6428800411295</v>
      </c>
      <c r="J1528" s="192">
        <f>IF(E1528="stiffened",5+5/(B1528/C1528)^2,5)</f>
        <v>20.554591109182219</v>
      </c>
      <c r="K1528" s="191">
        <f>H1528/G1528</f>
        <v>235.16819383874085</v>
      </c>
      <c r="L1528" s="191">
        <f>SQRT(INPUT!$B$2*J1528/INPUT!AQ29)</f>
        <v>0</v>
      </c>
      <c r="M1528" s="184">
        <f>IF(K1528&lt;=1.12*L1528,1,IF(K1528&lt;=1.4*L1528,1.12/K1528*L1528,1.57*L1528^2/K1528^2))</f>
        <v>0</v>
      </c>
      <c r="N1528" s="286">
        <f>IF(E1528="stiffened",IF(2*C1528*G1528/(INPUT!H29*INPUT!I29*INPUT!J29+INPUT!K29*INPUT!L29)&lt;=2.5,I1528*(M1528+0.87*(1-M1528)/SQRT(1+(B1528/C1528)^2)),I1528*(M1528+0.87*(1-M1528)/(SQRT(1+(B1528/C1528)^2)+B1528/C1528))),M1528*I1528)</f>
        <v>5277.0541860455469</v>
      </c>
    </row>
    <row r="1529">
      <c r="A1529" s="187">
        <f>A1332</f>
        <v>101</v>
      </c>
      <c r="B1529" s="174">
        <f>INPUT!AC30</f>
        <v>1587.5</v>
      </c>
      <c r="C1529" s="174">
        <f>K844</f>
        <v>2800</v>
      </c>
      <c r="D1529" s="191">
        <f>D1244</f>
        <v>700</v>
      </c>
      <c r="E1529" s="174" t="str">
        <f>IF(OR(AND(B1529&lt;=3*C1529,D1529=0),AND(B1529&lt;=1.5*C1529,D1529&gt;0)),"stiffened","unstiffened")</f>
        <v>stiffened</v>
      </c>
      <c r="F1529" s="380"/>
      <c r="G1529" s="343">
        <f>K1244</f>
        <v>12</v>
      </c>
      <c r="H1529" s="174">
        <f>E1244*K1244</f>
        <v>2822.01832606489</v>
      </c>
      <c r="I1529" s="191">
        <f>0.58*INPUT!AQ30*1000*H1529*G1529/10^6</f>
        <v>6972.6428800411295</v>
      </c>
      <c r="J1529" s="192">
        <f>IF(E1529="stiffened",5+5/(B1529/C1529)^2,5)</f>
        <v>20.554591109182219</v>
      </c>
      <c r="K1529" s="191">
        <f>H1529/G1529</f>
        <v>235.16819383874085</v>
      </c>
      <c r="L1529" s="191">
        <f>SQRT(INPUT!$B$2*J1529/INPUT!AQ30)</f>
        <v>0</v>
      </c>
      <c r="M1529" s="184">
        <f>IF(K1529&lt;=1.12*L1529,1,IF(K1529&lt;=1.4*L1529,1.12/K1529*L1529,1.57*L1529^2/K1529^2))</f>
        <v>0</v>
      </c>
      <c r="N1529" s="286">
        <f>IF(E1529="stiffened",IF(2*C1529*G1529/(INPUT!H30*INPUT!I30*INPUT!J30+INPUT!K30*INPUT!L30)&lt;=2.5,I1529*(M1529+0.87*(1-M1529)/SQRT(1+(B1529/C1529)^2)),I1529*(M1529+0.87*(1-M1529)/(SQRT(1+(B1529/C1529)^2)+B1529/C1529))),M1529*I1529)</f>
        <v>5277.0541860455469</v>
      </c>
    </row>
    <row r="1530">
      <c r="A1530" s="187">
        <f>A1333</f>
        <v>101</v>
      </c>
      <c r="B1530" s="174">
        <f>INPUT!AC31</f>
        <v>1587.5</v>
      </c>
      <c r="C1530" s="174">
        <f>K845</f>
        <v>2800</v>
      </c>
      <c r="D1530" s="191">
        <f>D1245</f>
        <v>700</v>
      </c>
      <c r="E1530" s="174" t="str">
        <f>IF(OR(AND(B1530&lt;=3*C1530,D1530=0),AND(B1530&lt;=1.5*C1530,D1530&gt;0)),"stiffened","unstiffened")</f>
        <v>stiffened</v>
      </c>
      <c r="F1530" s="380"/>
      <c r="G1530" s="343">
        <f>K1245</f>
        <v>12</v>
      </c>
      <c r="H1530" s="174">
        <f>E1245*K1245</f>
        <v>2822.01832606489</v>
      </c>
      <c r="I1530" s="191">
        <f>0.58*INPUT!AQ31*1000*H1530*G1530/10^6</f>
        <v>6972.6428800411295</v>
      </c>
      <c r="J1530" s="192">
        <f>IF(E1530="stiffened",5+5/(B1530/C1530)^2,5)</f>
        <v>20.554591109182219</v>
      </c>
      <c r="K1530" s="191">
        <f>H1530/G1530</f>
        <v>235.16819383874085</v>
      </c>
      <c r="L1530" s="191">
        <f>SQRT(INPUT!$B$2*J1530/INPUT!AQ31)</f>
        <v>0</v>
      </c>
      <c r="M1530" s="184">
        <f>IF(K1530&lt;=1.12*L1530,1,IF(K1530&lt;=1.4*L1530,1.12/K1530*L1530,1.57*L1530^2/K1530^2))</f>
        <v>0</v>
      </c>
      <c r="N1530" s="286">
        <f>IF(E1530="stiffened",IF(2*C1530*G1530/(INPUT!H31*INPUT!I31*INPUT!J31+INPUT!K31*INPUT!L31)&lt;=2.5,I1530*(M1530+0.87*(1-M1530)/SQRT(1+(B1530/C1530)^2)),I1530*(M1530+0.87*(1-M1530)/(SQRT(1+(B1530/C1530)^2)+B1530/C1530))),M1530*I1530)</f>
        <v>5277.0541860455469</v>
      </c>
    </row>
    <row r="1531">
      <c r="A1531" s="187">
        <f>A1334</f>
        <v>101</v>
      </c>
      <c r="B1531" s="174">
        <f>INPUT!AC32</f>
        <v>1587.5</v>
      </c>
      <c r="C1531" s="174">
        <f>K846</f>
        <v>2800</v>
      </c>
      <c r="D1531" s="191">
        <f>D1246</f>
        <v>700</v>
      </c>
      <c r="E1531" s="174" t="str">
        <f>IF(OR(AND(B1531&lt;=3*C1531,D1531=0),AND(B1531&lt;=1.5*C1531,D1531&gt;0)),"stiffened","unstiffened")</f>
        <v>stiffened</v>
      </c>
      <c r="F1531" s="380"/>
      <c r="G1531" s="343">
        <f>K1246</f>
        <v>12</v>
      </c>
      <c r="H1531" s="174">
        <f>E1246*K1246</f>
        <v>2822.01832606489</v>
      </c>
      <c r="I1531" s="191">
        <f>0.58*INPUT!AQ32*1000*H1531*G1531/10^6</f>
        <v>6972.6428800411295</v>
      </c>
      <c r="J1531" s="192">
        <f>IF(E1531="stiffened",5+5/(B1531/C1531)^2,5)</f>
        <v>20.554591109182219</v>
      </c>
      <c r="K1531" s="191">
        <f>H1531/G1531</f>
        <v>235.16819383874085</v>
      </c>
      <c r="L1531" s="191">
        <f>SQRT(INPUT!$B$2*J1531/INPUT!AQ32)</f>
        <v>0</v>
      </c>
      <c r="M1531" s="184">
        <f>IF(K1531&lt;=1.12*L1531,1,IF(K1531&lt;=1.4*L1531,1.12/K1531*L1531,1.57*L1531^2/K1531^2))</f>
        <v>0</v>
      </c>
      <c r="N1531" s="286">
        <f>IF(E1531="stiffened",IF(2*C1531*G1531/(INPUT!H32*INPUT!I32*INPUT!J32+INPUT!K32*INPUT!L32)&lt;=2.5,I1531*(M1531+0.87*(1-M1531)/SQRT(1+(B1531/C1531)^2)),I1531*(M1531+0.87*(1-M1531)/(SQRT(1+(B1531/C1531)^2)+B1531/C1531))),M1531*I1531)</f>
        <v>5277.0541860455469</v>
      </c>
    </row>
    <row r="1532">
      <c r="A1532" s="187">
        <f>A1335</f>
        <v>101</v>
      </c>
      <c r="B1532" s="174">
        <f>INPUT!AC33</f>
        <v>1587.5</v>
      </c>
      <c r="C1532" s="174">
        <f>K847</f>
        <v>2800</v>
      </c>
      <c r="D1532" s="191">
        <f>D1247</f>
        <v>700</v>
      </c>
      <c r="E1532" s="174" t="str">
        <f>IF(OR(AND(B1532&lt;=3*C1532,D1532=0),AND(B1532&lt;=1.5*C1532,D1532&gt;0)),"stiffened","unstiffened")</f>
        <v>stiffened</v>
      </c>
      <c r="F1532" s="380"/>
      <c r="G1532" s="343">
        <f>K1247</f>
        <v>12</v>
      </c>
      <c r="H1532" s="174">
        <f>E1247*K1247</f>
        <v>2822.01832606489</v>
      </c>
      <c r="I1532" s="191">
        <f>0.58*INPUT!AQ33*1000*H1532*G1532/10^6</f>
        <v>6972.6428800411295</v>
      </c>
      <c r="J1532" s="192">
        <f>IF(E1532="stiffened",5+5/(B1532/C1532)^2,5)</f>
        <v>20.554591109182219</v>
      </c>
      <c r="K1532" s="191">
        <f>H1532/G1532</f>
        <v>235.16819383874085</v>
      </c>
      <c r="L1532" s="191">
        <f>SQRT(INPUT!$B$2*J1532/INPUT!AQ33)</f>
        <v>0</v>
      </c>
      <c r="M1532" s="184">
        <f>IF(K1532&lt;=1.12*L1532,1,IF(K1532&lt;=1.4*L1532,1.12/K1532*L1532,1.57*L1532^2/K1532^2))</f>
        <v>0</v>
      </c>
      <c r="N1532" s="286">
        <f>IF(E1532="stiffened",IF(2*C1532*G1532/(INPUT!H33*INPUT!I33*INPUT!J33+INPUT!K33*INPUT!L33)&lt;=2.5,I1532*(M1532+0.87*(1-M1532)/SQRT(1+(B1532/C1532)^2)),I1532*(M1532+0.87*(1-M1532)/(SQRT(1+(B1532/C1532)^2)+B1532/C1532))),M1532*I1532)</f>
        <v>5277.0541860455469</v>
      </c>
    </row>
    <row r="1533">
      <c r="A1533" s="187">
        <f>A1336</f>
        <v>101</v>
      </c>
      <c r="B1533" s="174">
        <f>INPUT!AC34</f>
        <v>1587.5</v>
      </c>
      <c r="C1533" s="174">
        <f>K848</f>
        <v>2800</v>
      </c>
      <c r="D1533" s="191">
        <f>D1248</f>
        <v>700</v>
      </c>
      <c r="E1533" s="174" t="str">
        <f>IF(OR(AND(B1533&lt;=3*C1533,D1533=0),AND(B1533&lt;=1.5*C1533,D1533&gt;0)),"stiffened","unstiffened")</f>
        <v>stiffened</v>
      </c>
      <c r="F1533" s="380"/>
      <c r="G1533" s="343">
        <f>K1248</f>
        <v>12</v>
      </c>
      <c r="H1533" s="174">
        <f>E1248*K1248</f>
        <v>2822.01832606489</v>
      </c>
      <c r="I1533" s="191">
        <f>0.58*INPUT!AQ34*1000*H1533*G1533/10^6</f>
        <v>6972.6428800411295</v>
      </c>
      <c r="J1533" s="192">
        <f>IF(E1533="stiffened",5+5/(B1533/C1533)^2,5)</f>
        <v>20.554591109182219</v>
      </c>
      <c r="K1533" s="191">
        <f>H1533/G1533</f>
        <v>235.16819383874085</v>
      </c>
      <c r="L1533" s="191">
        <f>SQRT(INPUT!$B$2*J1533/INPUT!AQ34)</f>
        <v>0</v>
      </c>
      <c r="M1533" s="184">
        <f>IF(K1533&lt;=1.12*L1533,1,IF(K1533&lt;=1.4*L1533,1.12/K1533*L1533,1.57*L1533^2/K1533^2))</f>
        <v>0</v>
      </c>
      <c r="N1533" s="286">
        <f>IF(E1533="stiffened",IF(2*C1533*G1533/(INPUT!H34*INPUT!I34*INPUT!J34+INPUT!K34*INPUT!L34)&lt;=2.5,I1533*(M1533+0.87*(1-M1533)/SQRT(1+(B1533/C1533)^2)),I1533*(M1533+0.87*(1-M1533)/(SQRT(1+(B1533/C1533)^2)+B1533/C1533))),M1533*I1533)</f>
        <v>5277.0541860455469</v>
      </c>
    </row>
    <row r="1534">
      <c r="A1534" s="187">
        <f>A1337</f>
        <v>101</v>
      </c>
      <c r="B1534" s="174">
        <f>INPUT!AC35</f>
        <v>1587.5</v>
      </c>
      <c r="C1534" s="174">
        <f>K849</f>
        <v>2800</v>
      </c>
      <c r="D1534" s="191">
        <f>D1249</f>
        <v>700</v>
      </c>
      <c r="E1534" s="174" t="str">
        <f>IF(OR(AND(B1534&lt;=3*C1534,D1534=0),AND(B1534&lt;=1.5*C1534,D1534&gt;0)),"stiffened","unstiffened")</f>
        <v>stiffened</v>
      </c>
      <c r="F1534" s="380"/>
      <c r="G1534" s="343">
        <f>K1249</f>
        <v>12</v>
      </c>
      <c r="H1534" s="174">
        <f>E1249*K1249</f>
        <v>2822.01832606489</v>
      </c>
      <c r="I1534" s="191">
        <f>0.58*INPUT!AQ35*1000*H1534*G1534/10^6</f>
        <v>6972.6428800411295</v>
      </c>
      <c r="J1534" s="192">
        <f>IF(E1534="stiffened",5+5/(B1534/C1534)^2,5)</f>
        <v>20.554591109182219</v>
      </c>
      <c r="K1534" s="191">
        <f>H1534/G1534</f>
        <v>235.16819383874085</v>
      </c>
      <c r="L1534" s="191">
        <f>SQRT(INPUT!$B$2*J1534/INPUT!AQ35)</f>
        <v>0</v>
      </c>
      <c r="M1534" s="184">
        <f>IF(K1534&lt;=1.12*L1534,1,IF(K1534&lt;=1.4*L1534,1.12/K1534*L1534,1.57*L1534^2/K1534^2))</f>
        <v>0</v>
      </c>
      <c r="N1534" s="286">
        <f>IF(E1534="stiffened",IF(2*C1534*G1534/(INPUT!H35*INPUT!I35*INPUT!J35+INPUT!K35*INPUT!L35)&lt;=2.5,I1534*(M1534+0.87*(1-M1534)/SQRT(1+(B1534/C1534)^2)),I1534*(M1534+0.87*(1-M1534)/(SQRT(1+(B1534/C1534)^2)+B1534/C1534))),M1534*I1534)</f>
        <v>5277.0541860455469</v>
      </c>
    </row>
    <row r="1535">
      <c r="A1535" s="187">
        <f>A1338</f>
        <v>101</v>
      </c>
      <c r="B1535" s="174">
        <f>INPUT!AC36</f>
        <v>1587.5</v>
      </c>
      <c r="C1535" s="174">
        <f>K850</f>
        <v>2800</v>
      </c>
      <c r="D1535" s="191">
        <f>D1250</f>
        <v>700</v>
      </c>
      <c r="E1535" s="174" t="str">
        <f>IF(OR(AND(B1535&lt;=3*C1535,D1535=0),AND(B1535&lt;=1.5*C1535,D1535&gt;0)),"stiffened","unstiffened")</f>
        <v>stiffened</v>
      </c>
      <c r="F1535" s="380"/>
      <c r="G1535" s="343">
        <f>K1250</f>
        <v>12</v>
      </c>
      <c r="H1535" s="174">
        <f>E1250*K1250</f>
        <v>2822.01832606489</v>
      </c>
      <c r="I1535" s="191">
        <f>0.58*INPUT!AQ36*1000*H1535*G1535/10^6</f>
        <v>6972.6428800411295</v>
      </c>
      <c r="J1535" s="192">
        <f>IF(E1535="stiffened",5+5/(B1535/C1535)^2,5)</f>
        <v>20.554591109182219</v>
      </c>
      <c r="K1535" s="191">
        <f>H1535/G1535</f>
        <v>235.16819383874085</v>
      </c>
      <c r="L1535" s="191">
        <f>SQRT(INPUT!$B$2*J1535/INPUT!AQ36)</f>
        <v>0</v>
      </c>
      <c r="M1535" s="184">
        <f>IF(K1535&lt;=1.12*L1535,1,IF(K1535&lt;=1.4*L1535,1.12/K1535*L1535,1.57*L1535^2/K1535^2))</f>
        <v>0</v>
      </c>
      <c r="N1535" s="286">
        <f>IF(E1535="stiffened",IF(2*C1535*G1535/(INPUT!H36*INPUT!I36*INPUT!J36+INPUT!K36*INPUT!L36)&lt;=2.5,I1535*(M1535+0.87*(1-M1535)/SQRT(1+(B1535/C1535)^2)),I1535*(M1535+0.87*(1-M1535)/(SQRT(1+(B1535/C1535)^2)+B1535/C1535))),M1535*I1535)</f>
        <v>5277.0541860455469</v>
      </c>
    </row>
    <row r="1536">
      <c r="A1536" s="187">
        <f>A1339</f>
        <v>101</v>
      </c>
      <c r="B1536" s="174">
        <f>INPUT!AC37</f>
        <v>1587.5</v>
      </c>
      <c r="C1536" s="174">
        <f>K851</f>
        <v>2800</v>
      </c>
      <c r="D1536" s="191">
        <f>D1251</f>
        <v>700</v>
      </c>
      <c r="E1536" s="174" t="str">
        <f>IF(OR(AND(B1536&lt;=3*C1536,D1536=0),AND(B1536&lt;=1.5*C1536,D1536&gt;0)),"stiffened","unstiffened")</f>
        <v>stiffened</v>
      </c>
      <c r="F1536" s="380"/>
      <c r="G1536" s="343">
        <f>K1251</f>
        <v>12</v>
      </c>
      <c r="H1536" s="174">
        <f>E1251*K1251</f>
        <v>2822.01832606489</v>
      </c>
      <c r="I1536" s="191">
        <f>0.58*INPUT!AQ37*1000*H1536*G1536/10^6</f>
        <v>6972.6428800411295</v>
      </c>
      <c r="J1536" s="192">
        <f>IF(E1536="stiffened",5+5/(B1536/C1536)^2,5)</f>
        <v>20.554591109182219</v>
      </c>
      <c r="K1536" s="191">
        <f>H1536/G1536</f>
        <v>235.16819383874085</v>
      </c>
      <c r="L1536" s="191">
        <f>SQRT(INPUT!$B$2*J1536/INPUT!AQ37)</f>
        <v>0</v>
      </c>
      <c r="M1536" s="184">
        <f>IF(K1536&lt;=1.12*L1536,1,IF(K1536&lt;=1.4*L1536,1.12/K1536*L1536,1.57*L1536^2/K1536^2))</f>
        <v>0</v>
      </c>
      <c r="N1536" s="286">
        <f>IF(E1536="stiffened",IF(2*C1536*G1536/(INPUT!H37*INPUT!I37*INPUT!J37+INPUT!K37*INPUT!L37)&lt;=2.5,I1536*(M1536+0.87*(1-M1536)/SQRT(1+(B1536/C1536)^2)),I1536*(M1536+0.87*(1-M1536)/(SQRT(1+(B1536/C1536)^2)+B1536/C1536))),M1536*I1536)</f>
        <v>5277.0541860455469</v>
      </c>
    </row>
    <row r="1537">
      <c r="A1537" s="187">
        <f>A1340</f>
        <v>101</v>
      </c>
      <c r="B1537" s="174">
        <f>INPUT!AC38</f>
        <v>1587.5</v>
      </c>
      <c r="C1537" s="174">
        <f>K852</f>
        <v>2800</v>
      </c>
      <c r="D1537" s="191">
        <f>D1252</f>
        <v>700</v>
      </c>
      <c r="E1537" s="174" t="str">
        <f>IF(OR(AND(B1537&lt;=3*C1537,D1537=0),AND(B1537&lt;=1.5*C1537,D1537&gt;0)),"stiffened","unstiffened")</f>
        <v>stiffened</v>
      </c>
      <c r="F1537" s="380"/>
      <c r="G1537" s="343">
        <f>K1252</f>
        <v>12</v>
      </c>
      <c r="H1537" s="174">
        <f>E1252*K1252</f>
        <v>2822.01832606489</v>
      </c>
      <c r="I1537" s="191">
        <f>0.58*INPUT!AQ38*1000*H1537*G1537/10^6</f>
        <v>6972.6428800411295</v>
      </c>
      <c r="J1537" s="192">
        <f>IF(E1537="stiffened",5+5/(B1537/C1537)^2,5)</f>
        <v>20.554591109182219</v>
      </c>
      <c r="K1537" s="191">
        <f>H1537/G1537</f>
        <v>235.16819383874085</v>
      </c>
      <c r="L1537" s="191">
        <f>SQRT(INPUT!$B$2*J1537/INPUT!AQ38)</f>
        <v>0</v>
      </c>
      <c r="M1537" s="184">
        <f>IF(K1537&lt;=1.12*L1537,1,IF(K1537&lt;=1.4*L1537,1.12/K1537*L1537,1.57*L1537^2/K1537^2))</f>
        <v>0</v>
      </c>
      <c r="N1537" s="286">
        <f>IF(E1537="stiffened",IF(2*C1537*G1537/(INPUT!H38*INPUT!I38*INPUT!J38+INPUT!K38*INPUT!L38)&lt;=2.5,I1537*(M1537+0.87*(1-M1537)/SQRT(1+(B1537/C1537)^2)),I1537*(M1537+0.87*(1-M1537)/(SQRT(1+(B1537/C1537)^2)+B1537/C1537))),M1537*I1537)</f>
        <v>5277.0541860455469</v>
      </c>
    </row>
    <row r="1538">
      <c r="A1538" s="187">
        <f>A1341</f>
        <v>101</v>
      </c>
      <c r="B1538" s="174">
        <f>INPUT!AC39</f>
        <v>1587.5</v>
      </c>
      <c r="C1538" s="174">
        <f>K853</f>
        <v>2800</v>
      </c>
      <c r="D1538" s="191">
        <f>D1253</f>
        <v>700</v>
      </c>
      <c r="E1538" s="174" t="str">
        <f>IF(OR(AND(B1538&lt;=3*C1538,D1538=0),AND(B1538&lt;=1.5*C1538,D1538&gt;0)),"stiffened","unstiffened")</f>
        <v>stiffened</v>
      </c>
      <c r="F1538" s="380"/>
      <c r="G1538" s="343">
        <f>K1253</f>
        <v>12</v>
      </c>
      <c r="H1538" s="174">
        <f>E1253*K1253</f>
        <v>2822.01832606489</v>
      </c>
      <c r="I1538" s="191">
        <f>0.58*INPUT!AQ39*1000*H1538*G1538/10^6</f>
        <v>6972.6428800411295</v>
      </c>
      <c r="J1538" s="192">
        <f>IF(E1538="stiffened",5+5/(B1538/C1538)^2,5)</f>
        <v>20.554591109182219</v>
      </c>
      <c r="K1538" s="191">
        <f>H1538/G1538</f>
        <v>235.16819383874085</v>
      </c>
      <c r="L1538" s="191">
        <f>SQRT(INPUT!$B$2*J1538/INPUT!AQ39)</f>
        <v>0</v>
      </c>
      <c r="M1538" s="184">
        <f>IF(K1538&lt;=1.12*L1538,1,IF(K1538&lt;=1.4*L1538,1.12/K1538*L1538,1.57*L1538^2/K1538^2))</f>
        <v>0</v>
      </c>
      <c r="N1538" s="286">
        <f>IF(E1538="stiffened",IF(2*C1538*G1538/(INPUT!H39*INPUT!I39*INPUT!J39+INPUT!K39*INPUT!L39)&lt;=2.5,I1538*(M1538+0.87*(1-M1538)/SQRT(1+(B1538/C1538)^2)),I1538*(M1538+0.87*(1-M1538)/(SQRT(1+(B1538/C1538)^2)+B1538/C1538))),M1538*I1538)</f>
        <v>5277.0541860455469</v>
      </c>
    </row>
    <row r="1539">
      <c r="A1539" s="187">
        <f>A1342</f>
        <v>101</v>
      </c>
      <c r="B1539" s="174">
        <f>INPUT!AC40</f>
        <v>1587.5</v>
      </c>
      <c r="C1539" s="174">
        <f>K854</f>
        <v>2800</v>
      </c>
      <c r="D1539" s="191">
        <f>D1254</f>
        <v>700</v>
      </c>
      <c r="E1539" s="174" t="str">
        <f>IF(OR(AND(B1539&lt;=3*C1539,D1539=0),AND(B1539&lt;=1.5*C1539,D1539&gt;0)),"stiffened","unstiffened")</f>
        <v>stiffened</v>
      </c>
      <c r="F1539" s="380"/>
      <c r="G1539" s="343">
        <f>K1254</f>
        <v>12</v>
      </c>
      <c r="H1539" s="174">
        <f>E1254*K1254</f>
        <v>2822.01832606489</v>
      </c>
      <c r="I1539" s="191">
        <f>0.58*INPUT!AQ40*1000*H1539*G1539/10^6</f>
        <v>6972.6428800411295</v>
      </c>
      <c r="J1539" s="192">
        <f>IF(E1539="stiffened",5+5/(B1539/C1539)^2,5)</f>
        <v>20.554591109182219</v>
      </c>
      <c r="K1539" s="191">
        <f>H1539/G1539</f>
        <v>235.16819383874085</v>
      </c>
      <c r="L1539" s="191">
        <f>SQRT(INPUT!$B$2*J1539/INPUT!AQ40)</f>
        <v>0</v>
      </c>
      <c r="M1539" s="184">
        <f>IF(K1539&lt;=1.12*L1539,1,IF(K1539&lt;=1.4*L1539,1.12/K1539*L1539,1.57*L1539^2/K1539^2))</f>
        <v>0</v>
      </c>
      <c r="N1539" s="286">
        <f>IF(E1539="stiffened",IF(2*C1539*G1539/(INPUT!H40*INPUT!I40*INPUT!J40+INPUT!K40*INPUT!L40)&lt;=2.5,I1539*(M1539+0.87*(1-M1539)/SQRT(1+(B1539/C1539)^2)),I1539*(M1539+0.87*(1-M1539)/(SQRT(1+(B1539/C1539)^2)+B1539/C1539))),M1539*I1539)</f>
        <v>5277.0541860455469</v>
      </c>
    </row>
    <row r="1540">
      <c r="A1540" s="187">
        <f>A1343</f>
        <v>101</v>
      </c>
      <c r="B1540" s="174">
        <f>INPUT!AC41</f>
        <v>1587.5</v>
      </c>
      <c r="C1540" s="174">
        <f>K855</f>
        <v>2800</v>
      </c>
      <c r="D1540" s="191">
        <f>D1255</f>
        <v>700</v>
      </c>
      <c r="E1540" s="174" t="str">
        <f>IF(OR(AND(B1540&lt;=3*C1540,D1540=0),AND(B1540&lt;=1.5*C1540,D1540&gt;0)),"stiffened","unstiffened")</f>
        <v>stiffened</v>
      </c>
      <c r="F1540" s="380"/>
      <c r="G1540" s="343">
        <f>K1255</f>
        <v>12</v>
      </c>
      <c r="H1540" s="174">
        <f>E1255*K1255</f>
        <v>2822.01832606489</v>
      </c>
      <c r="I1540" s="191">
        <f>0.58*INPUT!AQ41*1000*H1540*G1540/10^6</f>
        <v>6972.6428800411295</v>
      </c>
      <c r="J1540" s="192">
        <f>IF(E1540="stiffened",5+5/(B1540/C1540)^2,5)</f>
        <v>20.554591109182219</v>
      </c>
      <c r="K1540" s="191">
        <f>H1540/G1540</f>
        <v>235.16819383874085</v>
      </c>
      <c r="L1540" s="191">
        <f>SQRT(INPUT!$B$2*J1540/INPUT!AQ41)</f>
        <v>0</v>
      </c>
      <c r="M1540" s="184">
        <f>IF(K1540&lt;=1.12*L1540,1,IF(K1540&lt;=1.4*L1540,1.12/K1540*L1540,1.57*L1540^2/K1540^2))</f>
        <v>0</v>
      </c>
      <c r="N1540" s="286">
        <f>IF(E1540="stiffened",IF(2*C1540*G1540/(INPUT!H41*INPUT!I41*INPUT!J41+INPUT!K41*INPUT!L41)&lt;=2.5,I1540*(M1540+0.87*(1-M1540)/SQRT(1+(B1540/C1540)^2)),I1540*(M1540+0.87*(1-M1540)/(SQRT(1+(B1540/C1540)^2)+B1540/C1540))),M1540*I1540)</f>
        <v>5277.0541860455469</v>
      </c>
    </row>
    <row r="1541">
      <c r="A1541" s="187">
        <f>A1344</f>
        <v>101</v>
      </c>
      <c r="B1541" s="174">
        <f>INPUT!AC42</f>
        <v>1587.5</v>
      </c>
      <c r="C1541" s="174">
        <f>K856</f>
        <v>2800</v>
      </c>
      <c r="D1541" s="191">
        <f>D1256</f>
        <v>700</v>
      </c>
      <c r="E1541" s="174" t="str">
        <f>IF(OR(AND(B1541&lt;=3*C1541,D1541=0),AND(B1541&lt;=1.5*C1541,D1541&gt;0)),"stiffened","unstiffened")</f>
        <v>stiffened</v>
      </c>
      <c r="F1541" s="380"/>
      <c r="G1541" s="343">
        <f>K1256</f>
        <v>12</v>
      </c>
      <c r="H1541" s="174">
        <f>E1256*K1256</f>
        <v>2822.01832606489</v>
      </c>
      <c r="I1541" s="191">
        <f>0.58*INPUT!AQ42*1000*H1541*G1541/10^6</f>
        <v>6972.6428800411295</v>
      </c>
      <c r="J1541" s="192">
        <f>IF(E1541="stiffened",5+5/(B1541/C1541)^2,5)</f>
        <v>20.554591109182219</v>
      </c>
      <c r="K1541" s="191">
        <f>H1541/G1541</f>
        <v>235.16819383874085</v>
      </c>
      <c r="L1541" s="191">
        <f>SQRT(INPUT!$B$2*J1541/INPUT!AQ42)</f>
        <v>0</v>
      </c>
      <c r="M1541" s="184">
        <f>IF(K1541&lt;=1.12*L1541,1,IF(K1541&lt;=1.4*L1541,1.12/K1541*L1541,1.57*L1541^2/K1541^2))</f>
        <v>0</v>
      </c>
      <c r="N1541" s="286">
        <f>IF(E1541="stiffened",IF(2*C1541*G1541/(INPUT!H42*INPUT!I42*INPUT!J42+INPUT!K42*INPUT!L42)&lt;=2.5,I1541*(M1541+0.87*(1-M1541)/SQRT(1+(B1541/C1541)^2)),I1541*(M1541+0.87*(1-M1541)/(SQRT(1+(B1541/C1541)^2)+B1541/C1541))),M1541*I1541)</f>
        <v>5277.0541860455469</v>
      </c>
    </row>
    <row r="1542">
      <c r="A1542" s="187">
        <f>A1345</f>
        <v>101</v>
      </c>
      <c r="B1542" s="174">
        <f>INPUT!AC43</f>
        <v>1587.5</v>
      </c>
      <c r="C1542" s="174">
        <f>K857</f>
        <v>2800</v>
      </c>
      <c r="D1542" s="191">
        <f>D1257</f>
        <v>700</v>
      </c>
      <c r="E1542" s="174" t="str">
        <f>IF(OR(AND(B1542&lt;=3*C1542,D1542=0),AND(B1542&lt;=1.5*C1542,D1542&gt;0)),"stiffened","unstiffened")</f>
        <v>stiffened</v>
      </c>
      <c r="F1542" s="380"/>
      <c r="G1542" s="343">
        <f>K1257</f>
        <v>12</v>
      </c>
      <c r="H1542" s="174">
        <f>E1257*K1257</f>
        <v>2822.01832606489</v>
      </c>
      <c r="I1542" s="191">
        <f>0.58*INPUT!AQ43*1000*H1542*G1542/10^6</f>
        <v>6972.6428800411295</v>
      </c>
      <c r="J1542" s="192">
        <f>IF(E1542="stiffened",5+5/(B1542/C1542)^2,5)</f>
        <v>20.554591109182219</v>
      </c>
      <c r="K1542" s="191">
        <f>H1542/G1542</f>
        <v>235.16819383874085</v>
      </c>
      <c r="L1542" s="191">
        <f>SQRT(INPUT!$B$2*J1542/INPUT!AQ43)</f>
        <v>0</v>
      </c>
      <c r="M1542" s="184">
        <f>IF(K1542&lt;=1.12*L1542,1,IF(K1542&lt;=1.4*L1542,1.12/K1542*L1542,1.57*L1542^2/K1542^2))</f>
        <v>0</v>
      </c>
      <c r="N1542" s="286">
        <f>IF(E1542="stiffened",IF(2*C1542*G1542/(INPUT!H43*INPUT!I43*INPUT!J43+INPUT!K43*INPUT!L43)&lt;=2.5,I1542*(M1542+0.87*(1-M1542)/SQRT(1+(B1542/C1542)^2)),I1542*(M1542+0.87*(1-M1542)/(SQRT(1+(B1542/C1542)^2)+B1542/C1542))),M1542*I1542)</f>
        <v>5277.0541860455469</v>
      </c>
    </row>
    <row r="1543">
      <c r="A1543" s="187">
        <f>A1346</f>
        <v>101</v>
      </c>
      <c r="B1543" s="174">
        <f>INPUT!AC44</f>
        <v>1587.5</v>
      </c>
      <c r="C1543" s="174">
        <f>K858</f>
        <v>2800</v>
      </c>
      <c r="D1543" s="191">
        <f>D1258</f>
        <v>700</v>
      </c>
      <c r="E1543" s="174" t="str">
        <f>IF(OR(AND(B1543&lt;=3*C1543,D1543=0),AND(B1543&lt;=1.5*C1543,D1543&gt;0)),"stiffened","unstiffened")</f>
        <v>stiffened</v>
      </c>
      <c r="F1543" s="380"/>
      <c r="G1543" s="343">
        <f>K1258</f>
        <v>12</v>
      </c>
      <c r="H1543" s="174">
        <f>E1258*K1258</f>
        <v>2822.01832606489</v>
      </c>
      <c r="I1543" s="191">
        <f>0.58*INPUT!AQ44*1000*H1543*G1543/10^6</f>
        <v>6972.6428800411295</v>
      </c>
      <c r="J1543" s="192">
        <f>IF(E1543="stiffened",5+5/(B1543/C1543)^2,5)</f>
        <v>20.554591109182219</v>
      </c>
      <c r="K1543" s="191">
        <f>H1543/G1543</f>
        <v>235.16819383874085</v>
      </c>
      <c r="L1543" s="191">
        <f>SQRT(INPUT!$B$2*J1543/INPUT!AQ44)</f>
        <v>0</v>
      </c>
      <c r="M1543" s="184">
        <f>IF(K1543&lt;=1.12*L1543,1,IF(K1543&lt;=1.4*L1543,1.12/K1543*L1543,1.57*L1543^2/K1543^2))</f>
        <v>0</v>
      </c>
      <c r="N1543" s="286">
        <f>IF(E1543="stiffened",IF(2*C1543*G1543/(INPUT!H44*INPUT!I44*INPUT!J44+INPUT!K44*INPUT!L44)&lt;=2.5,I1543*(M1543+0.87*(1-M1543)/SQRT(1+(B1543/C1543)^2)),I1543*(M1543+0.87*(1-M1543)/(SQRT(1+(B1543/C1543)^2)+B1543/C1543))),M1543*I1543)</f>
        <v>5277.0541860455469</v>
      </c>
    </row>
    <row r="1544">
      <c r="A1544" s="187">
        <f>A1347</f>
        <v>101</v>
      </c>
      <c r="B1544" s="174">
        <f>INPUT!AC45</f>
        <v>1587.5</v>
      </c>
      <c r="C1544" s="174">
        <f>K859</f>
        <v>2800</v>
      </c>
      <c r="D1544" s="191">
        <f>D1259</f>
        <v>700</v>
      </c>
      <c r="E1544" s="174" t="str">
        <f>IF(OR(AND(B1544&lt;=3*C1544,D1544=0),AND(B1544&lt;=1.5*C1544,D1544&gt;0)),"stiffened","unstiffened")</f>
        <v>stiffened</v>
      </c>
      <c r="F1544" s="380"/>
      <c r="G1544" s="343">
        <f>K1259</f>
        <v>12</v>
      </c>
      <c r="H1544" s="174">
        <f>E1259*K1259</f>
        <v>2822.01832606489</v>
      </c>
      <c r="I1544" s="191">
        <f>0.58*INPUT!AQ45*1000*H1544*G1544/10^6</f>
        <v>6972.6428800411295</v>
      </c>
      <c r="J1544" s="192">
        <f>IF(E1544="stiffened",5+5/(B1544/C1544)^2,5)</f>
        <v>20.554591109182219</v>
      </c>
      <c r="K1544" s="191">
        <f>H1544/G1544</f>
        <v>235.16819383874085</v>
      </c>
      <c r="L1544" s="191">
        <f>SQRT(INPUT!$B$2*J1544/INPUT!AQ45)</f>
        <v>0</v>
      </c>
      <c r="M1544" s="184">
        <f>IF(K1544&lt;=1.12*L1544,1,IF(K1544&lt;=1.4*L1544,1.12/K1544*L1544,1.57*L1544^2/K1544^2))</f>
        <v>0</v>
      </c>
      <c r="N1544" s="286">
        <f>IF(E1544="stiffened",IF(2*C1544*G1544/(INPUT!H45*INPUT!I45*INPUT!J45+INPUT!K45*INPUT!L45)&lt;=2.5,I1544*(M1544+0.87*(1-M1544)/SQRT(1+(B1544/C1544)^2)),I1544*(M1544+0.87*(1-M1544)/(SQRT(1+(B1544/C1544)^2)+B1544/C1544))),M1544*I1544)</f>
        <v>5277.0541860455469</v>
      </c>
    </row>
    <row r="1545">
      <c r="A1545" s="187">
        <f>A1348</f>
        <v>101</v>
      </c>
      <c r="B1545" s="174">
        <f>INPUT!AC46</f>
        <v>1587.5</v>
      </c>
      <c r="C1545" s="174">
        <f>K860</f>
        <v>2800</v>
      </c>
      <c r="D1545" s="191">
        <f>D1260</f>
        <v>700</v>
      </c>
      <c r="E1545" s="174" t="str">
        <f>IF(OR(AND(B1545&lt;=3*C1545,D1545=0),AND(B1545&lt;=1.5*C1545,D1545&gt;0)),"stiffened","unstiffened")</f>
        <v>stiffened</v>
      </c>
      <c r="F1545" s="380"/>
      <c r="G1545" s="343">
        <f>K1260</f>
        <v>12</v>
      </c>
      <c r="H1545" s="174">
        <f>E1260*K1260</f>
        <v>2822.01832606489</v>
      </c>
      <c r="I1545" s="191">
        <f>0.58*INPUT!AQ46*1000*H1545*G1545/10^6</f>
        <v>6972.6428800411295</v>
      </c>
      <c r="J1545" s="192">
        <f>IF(E1545="stiffened",5+5/(B1545/C1545)^2,5)</f>
        <v>20.554591109182219</v>
      </c>
      <c r="K1545" s="191">
        <f>H1545/G1545</f>
        <v>235.16819383874085</v>
      </c>
      <c r="L1545" s="191">
        <f>SQRT(INPUT!$B$2*J1545/INPUT!AQ46)</f>
        <v>0</v>
      </c>
      <c r="M1545" s="184">
        <f>IF(K1545&lt;=1.12*L1545,1,IF(K1545&lt;=1.4*L1545,1.12/K1545*L1545,1.57*L1545^2/K1545^2))</f>
        <v>0</v>
      </c>
      <c r="N1545" s="286">
        <f>IF(E1545="stiffened",IF(2*C1545*G1545/(INPUT!H46*INPUT!I46*INPUT!J46+INPUT!K46*INPUT!L46)&lt;=2.5,I1545*(M1545+0.87*(1-M1545)/SQRT(1+(B1545/C1545)^2)),I1545*(M1545+0.87*(1-M1545)/(SQRT(1+(B1545/C1545)^2)+B1545/C1545))),M1545*I1545)</f>
        <v>5277.0541860455469</v>
      </c>
    </row>
    <row r="1546">
      <c r="A1546" s="187">
        <f>A1349</f>
        <v>101</v>
      </c>
      <c r="B1546" s="174">
        <f>INPUT!AC47</f>
        <v>1587.5</v>
      </c>
      <c r="C1546" s="174">
        <f>K861</f>
        <v>2800</v>
      </c>
      <c r="D1546" s="191">
        <f>D1261</f>
        <v>700</v>
      </c>
      <c r="E1546" s="174" t="str">
        <f>IF(OR(AND(B1546&lt;=3*C1546,D1546=0),AND(B1546&lt;=1.5*C1546,D1546&gt;0)),"stiffened","unstiffened")</f>
        <v>stiffened</v>
      </c>
      <c r="F1546" s="380"/>
      <c r="G1546" s="343">
        <f>K1261</f>
        <v>12</v>
      </c>
      <c r="H1546" s="174">
        <f>E1261*K1261</f>
        <v>2822.01832606489</v>
      </c>
      <c r="I1546" s="191">
        <f>0.58*INPUT!AQ47*1000*H1546*G1546/10^6</f>
        <v>6972.6428800411295</v>
      </c>
      <c r="J1546" s="192">
        <f>IF(E1546="stiffened",5+5/(B1546/C1546)^2,5)</f>
        <v>20.554591109182219</v>
      </c>
      <c r="K1546" s="191">
        <f>H1546/G1546</f>
        <v>235.16819383874085</v>
      </c>
      <c r="L1546" s="191">
        <f>SQRT(INPUT!$B$2*J1546/INPUT!AQ47)</f>
        <v>0</v>
      </c>
      <c r="M1546" s="184">
        <f>IF(K1546&lt;=1.12*L1546,1,IF(K1546&lt;=1.4*L1546,1.12/K1546*L1546,1.57*L1546^2/K1546^2))</f>
        <v>0</v>
      </c>
      <c r="N1546" s="286">
        <f>IF(E1546="stiffened",IF(2*C1546*G1546/(INPUT!H47*INPUT!I47*INPUT!J47+INPUT!K47*INPUT!L47)&lt;=2.5,I1546*(M1546+0.87*(1-M1546)/SQRT(1+(B1546/C1546)^2)),I1546*(M1546+0.87*(1-M1546)/(SQRT(1+(B1546/C1546)^2)+B1546/C1546))),M1546*I1546)</f>
        <v>5277.0541860455469</v>
      </c>
    </row>
    <row r="1547">
      <c r="A1547" s="187">
        <f>A1350</f>
        <v>101</v>
      </c>
      <c r="B1547" s="174">
        <f>INPUT!AC48</f>
        <v>1587.5</v>
      </c>
      <c r="C1547" s="174">
        <f>K862</f>
        <v>2800</v>
      </c>
      <c r="D1547" s="191">
        <f>D1262</f>
        <v>700</v>
      </c>
      <c r="E1547" s="174" t="str">
        <f>IF(OR(AND(B1547&lt;=3*C1547,D1547=0),AND(B1547&lt;=1.5*C1547,D1547&gt;0)),"stiffened","unstiffened")</f>
        <v>stiffened</v>
      </c>
      <c r="F1547" s="380"/>
      <c r="G1547" s="343">
        <f>K1262</f>
        <v>12</v>
      </c>
      <c r="H1547" s="174">
        <f>E1262*K1262</f>
        <v>2822.01832606489</v>
      </c>
      <c r="I1547" s="191">
        <f>0.58*INPUT!AQ48*1000*H1547*G1547/10^6</f>
        <v>6972.6428800411295</v>
      </c>
      <c r="J1547" s="192">
        <f>IF(E1547="stiffened",5+5/(B1547/C1547)^2,5)</f>
        <v>20.554591109182219</v>
      </c>
      <c r="K1547" s="191">
        <f>H1547/G1547</f>
        <v>235.16819383874085</v>
      </c>
      <c r="L1547" s="191">
        <f>SQRT(INPUT!$B$2*J1547/INPUT!AQ48)</f>
        <v>0</v>
      </c>
      <c r="M1547" s="184">
        <f>IF(K1547&lt;=1.12*L1547,1,IF(K1547&lt;=1.4*L1547,1.12/K1547*L1547,1.57*L1547^2/K1547^2))</f>
        <v>0</v>
      </c>
      <c r="N1547" s="286">
        <f>IF(E1547="stiffened",IF(2*C1547*G1547/(INPUT!H48*INPUT!I48*INPUT!J48+INPUT!K48*INPUT!L48)&lt;=2.5,I1547*(M1547+0.87*(1-M1547)/SQRT(1+(B1547/C1547)^2)),I1547*(M1547+0.87*(1-M1547)/(SQRT(1+(B1547/C1547)^2)+B1547/C1547))),M1547*I1547)</f>
        <v>5277.0541860455469</v>
      </c>
    </row>
    <row r="1548">
      <c r="A1548" s="187">
        <f>A1351</f>
        <v>101</v>
      </c>
      <c r="B1548" s="174">
        <f>INPUT!AC49</f>
        <v>1587.5</v>
      </c>
      <c r="C1548" s="174">
        <f>K863</f>
        <v>2800</v>
      </c>
      <c r="D1548" s="191">
        <f>D1263</f>
        <v>700</v>
      </c>
      <c r="E1548" s="174" t="str">
        <f>IF(OR(AND(B1548&lt;=3*C1548,D1548=0),AND(B1548&lt;=1.5*C1548,D1548&gt;0)),"stiffened","unstiffened")</f>
        <v>stiffened</v>
      </c>
      <c r="F1548" s="380"/>
      <c r="G1548" s="343">
        <f>K1263</f>
        <v>12</v>
      </c>
      <c r="H1548" s="174">
        <f>E1263*K1263</f>
        <v>2822.01832606489</v>
      </c>
      <c r="I1548" s="191">
        <f>0.58*INPUT!AQ49*1000*H1548*G1548/10^6</f>
        <v>6972.6428800411295</v>
      </c>
      <c r="J1548" s="192">
        <f>IF(E1548="stiffened",5+5/(B1548/C1548)^2,5)</f>
        <v>20.554591109182219</v>
      </c>
      <c r="K1548" s="191">
        <f>H1548/G1548</f>
        <v>235.16819383874085</v>
      </c>
      <c r="L1548" s="191">
        <f>SQRT(INPUT!$B$2*J1548/INPUT!AQ49)</f>
        <v>0</v>
      </c>
      <c r="M1548" s="184">
        <f>IF(K1548&lt;=1.12*L1548,1,IF(K1548&lt;=1.4*L1548,1.12/K1548*L1548,1.57*L1548^2/K1548^2))</f>
        <v>0</v>
      </c>
      <c r="N1548" s="286">
        <f>IF(E1548="stiffened",IF(2*C1548*G1548/(INPUT!H49*INPUT!I49*INPUT!J49+INPUT!K49*INPUT!L49)&lt;=2.5,I1548*(M1548+0.87*(1-M1548)/SQRT(1+(B1548/C1548)^2)),I1548*(M1548+0.87*(1-M1548)/(SQRT(1+(B1548/C1548)^2)+B1548/C1548))),M1548*I1548)</f>
        <v>5277.0541860455469</v>
      </c>
    </row>
    <row r="1549">
      <c r="A1549" s="187">
        <f>A1352</f>
        <v>101</v>
      </c>
      <c r="B1549" s="174">
        <f>INPUT!AC50</f>
        <v>1587.5</v>
      </c>
      <c r="C1549" s="174">
        <f>K864</f>
        <v>2800</v>
      </c>
      <c r="D1549" s="191">
        <f>D1264</f>
        <v>700</v>
      </c>
      <c r="E1549" s="174" t="str">
        <f>IF(OR(AND(B1549&lt;=3*C1549,D1549=0),AND(B1549&lt;=1.5*C1549,D1549&gt;0)),"stiffened","unstiffened")</f>
        <v>stiffened</v>
      </c>
      <c r="F1549" s="380"/>
      <c r="G1549" s="343">
        <f>K1264</f>
        <v>12</v>
      </c>
      <c r="H1549" s="174">
        <f>E1264*K1264</f>
        <v>2822.01832606489</v>
      </c>
      <c r="I1549" s="191">
        <f>0.58*INPUT!AQ50*1000*H1549*G1549/10^6</f>
        <v>6972.6428800411295</v>
      </c>
      <c r="J1549" s="192">
        <f>IF(E1549="stiffened",5+5/(B1549/C1549)^2,5)</f>
        <v>20.554591109182219</v>
      </c>
      <c r="K1549" s="191">
        <f>H1549/G1549</f>
        <v>235.16819383874085</v>
      </c>
      <c r="L1549" s="191">
        <f>SQRT(INPUT!$B$2*J1549/INPUT!AQ50)</f>
        <v>0</v>
      </c>
      <c r="M1549" s="184">
        <f>IF(K1549&lt;=1.12*L1549,1,IF(K1549&lt;=1.4*L1549,1.12/K1549*L1549,1.57*L1549^2/K1549^2))</f>
        <v>0</v>
      </c>
      <c r="N1549" s="286">
        <f>IF(E1549="stiffened",IF(2*C1549*G1549/(INPUT!H50*INPUT!I50*INPUT!J50+INPUT!K50*INPUT!L50)&lt;=2.5,I1549*(M1549+0.87*(1-M1549)/SQRT(1+(B1549/C1549)^2)),I1549*(M1549+0.87*(1-M1549)/(SQRT(1+(B1549/C1549)^2)+B1549/C1549))),M1549*I1549)</f>
        <v>5277.0541860455469</v>
      </c>
    </row>
    <row r="1550">
      <c r="A1550" s="187">
        <f>A1353</f>
        <v>101</v>
      </c>
      <c r="B1550" s="174">
        <f>INPUT!AC51</f>
        <v>1587.5</v>
      </c>
      <c r="C1550" s="174">
        <f>K865</f>
        <v>2800</v>
      </c>
      <c r="D1550" s="191">
        <f>D1265</f>
        <v>700</v>
      </c>
      <c r="E1550" s="174" t="str">
        <f>IF(OR(AND(B1550&lt;=3*C1550,D1550=0),AND(B1550&lt;=1.5*C1550,D1550&gt;0)),"stiffened","unstiffened")</f>
        <v>stiffened</v>
      </c>
      <c r="F1550" s="380"/>
      <c r="G1550" s="343">
        <f>K1265</f>
        <v>12</v>
      </c>
      <c r="H1550" s="174">
        <f>E1265*K1265</f>
        <v>2822.01832606489</v>
      </c>
      <c r="I1550" s="191">
        <f>0.58*INPUT!AQ51*1000*H1550*G1550/10^6</f>
        <v>6972.6428800411295</v>
      </c>
      <c r="J1550" s="192">
        <f>IF(E1550="stiffened",5+5/(B1550/C1550)^2,5)</f>
        <v>20.554591109182219</v>
      </c>
      <c r="K1550" s="191">
        <f>H1550/G1550</f>
        <v>235.16819383874085</v>
      </c>
      <c r="L1550" s="191">
        <f>SQRT(INPUT!$B$2*J1550/INPUT!AQ51)</f>
        <v>0</v>
      </c>
      <c r="M1550" s="184">
        <f>IF(K1550&lt;=1.12*L1550,1,IF(K1550&lt;=1.4*L1550,1.12/K1550*L1550,1.57*L1550^2/K1550^2))</f>
        <v>0</v>
      </c>
      <c r="N1550" s="286">
        <f>IF(E1550="stiffened",IF(2*C1550*G1550/(INPUT!H51*INPUT!I51*INPUT!J51+INPUT!K51*INPUT!L51)&lt;=2.5,I1550*(M1550+0.87*(1-M1550)/SQRT(1+(B1550/C1550)^2)),I1550*(M1550+0.87*(1-M1550)/(SQRT(1+(B1550/C1550)^2)+B1550/C1550))),M1550*I1550)</f>
        <v>5277.0541860455469</v>
      </c>
    </row>
    <row r="1551">
      <c r="A1551" s="187">
        <f>A1354</f>
        <v>101</v>
      </c>
      <c r="B1551" s="174">
        <f>INPUT!AC52</f>
        <v>1587.5</v>
      </c>
      <c r="C1551" s="174">
        <f>K866</f>
        <v>2800</v>
      </c>
      <c r="D1551" s="191">
        <f>D1266</f>
        <v>700</v>
      </c>
      <c r="E1551" s="174" t="str">
        <f>IF(OR(AND(B1551&lt;=3*C1551,D1551=0),AND(B1551&lt;=1.5*C1551,D1551&gt;0)),"stiffened","unstiffened")</f>
        <v>stiffened</v>
      </c>
      <c r="F1551" s="380"/>
      <c r="G1551" s="343">
        <f>K1266</f>
        <v>12</v>
      </c>
      <c r="H1551" s="174">
        <f>E1266*K1266</f>
        <v>2822.01832606489</v>
      </c>
      <c r="I1551" s="191">
        <f>0.58*INPUT!AQ52*1000*H1551*G1551/10^6</f>
        <v>6972.6428800411295</v>
      </c>
      <c r="J1551" s="192">
        <f>IF(E1551="stiffened",5+5/(B1551/C1551)^2,5)</f>
        <v>20.554591109182219</v>
      </c>
      <c r="K1551" s="191">
        <f>H1551/G1551</f>
        <v>235.16819383874085</v>
      </c>
      <c r="L1551" s="191">
        <f>SQRT(INPUT!$B$2*J1551/INPUT!AQ52)</f>
        <v>0</v>
      </c>
      <c r="M1551" s="184">
        <f>IF(K1551&lt;=1.12*L1551,1,IF(K1551&lt;=1.4*L1551,1.12/K1551*L1551,1.57*L1551^2/K1551^2))</f>
        <v>0</v>
      </c>
      <c r="N1551" s="286">
        <f>IF(E1551="stiffened",IF(2*C1551*G1551/(INPUT!H52*INPUT!I52*INPUT!J52+INPUT!K52*INPUT!L52)&lt;=2.5,I1551*(M1551+0.87*(1-M1551)/SQRT(1+(B1551/C1551)^2)),I1551*(M1551+0.87*(1-M1551)/(SQRT(1+(B1551/C1551)^2)+B1551/C1551))),M1551*I1551)</f>
        <v>5277.0541860455469</v>
      </c>
    </row>
    <row r="1552">
      <c r="A1552" s="187">
        <f>A1355</f>
        <v>101</v>
      </c>
      <c r="B1552" s="174">
        <f>INPUT!AC53</f>
        <v>1587.5</v>
      </c>
      <c r="C1552" s="174">
        <f>K867</f>
        <v>2800</v>
      </c>
      <c r="D1552" s="191">
        <f>D1267</f>
        <v>700</v>
      </c>
      <c r="E1552" s="174" t="str">
        <f>IF(OR(AND(B1552&lt;=3*C1552,D1552=0),AND(B1552&lt;=1.5*C1552,D1552&gt;0)),"stiffened","unstiffened")</f>
        <v>stiffened</v>
      </c>
      <c r="F1552" s="380"/>
      <c r="G1552" s="343">
        <f>K1267</f>
        <v>12</v>
      </c>
      <c r="H1552" s="174">
        <f>E1267*K1267</f>
        <v>2822.01832606489</v>
      </c>
      <c r="I1552" s="191">
        <f>0.58*INPUT!AQ53*1000*H1552*G1552/10^6</f>
        <v>6972.6428800411295</v>
      </c>
      <c r="J1552" s="192">
        <f>IF(E1552="stiffened",5+5/(B1552/C1552)^2,5)</f>
        <v>20.554591109182219</v>
      </c>
      <c r="K1552" s="191">
        <f>H1552/G1552</f>
        <v>235.16819383874085</v>
      </c>
      <c r="L1552" s="191">
        <f>SQRT(INPUT!$B$2*J1552/INPUT!AQ53)</f>
        <v>0</v>
      </c>
      <c r="M1552" s="184">
        <f>IF(K1552&lt;=1.12*L1552,1,IF(K1552&lt;=1.4*L1552,1.12/K1552*L1552,1.57*L1552^2/K1552^2))</f>
        <v>0</v>
      </c>
      <c r="N1552" s="286">
        <f>IF(E1552="stiffened",IF(2*C1552*G1552/(INPUT!H53*INPUT!I53*INPUT!J53+INPUT!K53*INPUT!L53)&lt;=2.5,I1552*(M1552+0.87*(1-M1552)/SQRT(1+(B1552/C1552)^2)),I1552*(M1552+0.87*(1-M1552)/(SQRT(1+(B1552/C1552)^2)+B1552/C1552))),M1552*I1552)</f>
        <v>5277.0541860455469</v>
      </c>
    </row>
    <row r="1553">
      <c r="A1553" s="187">
        <f>A1356</f>
        <v>101</v>
      </c>
      <c r="B1553" s="174">
        <f>INPUT!AC54</f>
        <v>1587.5</v>
      </c>
      <c r="C1553" s="174">
        <f>K868</f>
        <v>2800</v>
      </c>
      <c r="D1553" s="191">
        <f>D1268</f>
        <v>700</v>
      </c>
      <c r="E1553" s="174" t="str">
        <f>IF(OR(AND(B1553&lt;=3*C1553,D1553=0),AND(B1553&lt;=1.5*C1553,D1553&gt;0)),"stiffened","unstiffened")</f>
        <v>stiffened</v>
      </c>
      <c r="F1553" s="380"/>
      <c r="G1553" s="343">
        <f>K1268</f>
        <v>12</v>
      </c>
      <c r="H1553" s="174">
        <f>E1268*K1268</f>
        <v>2822.01832606489</v>
      </c>
      <c r="I1553" s="191">
        <f>0.58*INPUT!AQ54*1000*H1553*G1553/10^6</f>
        <v>6972.6428800411295</v>
      </c>
      <c r="J1553" s="192">
        <f>IF(E1553="stiffened",5+5/(B1553/C1553)^2,5)</f>
        <v>20.554591109182219</v>
      </c>
      <c r="K1553" s="191">
        <f>H1553/G1553</f>
        <v>235.16819383874085</v>
      </c>
      <c r="L1553" s="191">
        <f>SQRT(INPUT!$B$2*J1553/INPUT!AQ54)</f>
        <v>0</v>
      </c>
      <c r="M1553" s="184">
        <f>IF(K1553&lt;=1.12*L1553,1,IF(K1553&lt;=1.4*L1553,1.12/K1553*L1553,1.57*L1553^2/K1553^2))</f>
        <v>0</v>
      </c>
      <c r="N1553" s="286">
        <f>IF(E1553="stiffened",IF(2*C1553*G1553/(INPUT!H54*INPUT!I54*INPUT!J54+INPUT!K54*INPUT!L54)&lt;=2.5,I1553*(M1553+0.87*(1-M1553)/SQRT(1+(B1553/C1553)^2)),I1553*(M1553+0.87*(1-M1553)/(SQRT(1+(B1553/C1553)^2)+B1553/C1553))),M1553*I1553)</f>
        <v>5277.0541860455469</v>
      </c>
    </row>
    <row r="1554">
      <c r="A1554" s="187">
        <f>A1357</f>
        <v>101</v>
      </c>
      <c r="B1554" s="174">
        <f>INPUT!AC55</f>
        <v>1587.5</v>
      </c>
      <c r="C1554" s="174">
        <f>K869</f>
        <v>2800</v>
      </c>
      <c r="D1554" s="191">
        <f>D1269</f>
        <v>700</v>
      </c>
      <c r="E1554" s="174" t="str">
        <f>IF(OR(AND(B1554&lt;=3*C1554,D1554=0),AND(B1554&lt;=1.5*C1554,D1554&gt;0)),"stiffened","unstiffened")</f>
        <v>stiffened</v>
      </c>
      <c r="F1554" s="380"/>
      <c r="G1554" s="343">
        <f>K1269</f>
        <v>12</v>
      </c>
      <c r="H1554" s="174">
        <f>E1269*K1269</f>
        <v>2822.01832606489</v>
      </c>
      <c r="I1554" s="191">
        <f>0.58*INPUT!AQ55*1000*H1554*G1554/10^6</f>
        <v>6972.6428800411295</v>
      </c>
      <c r="J1554" s="192">
        <f>IF(E1554="stiffened",5+5/(B1554/C1554)^2,5)</f>
        <v>20.554591109182219</v>
      </c>
      <c r="K1554" s="191">
        <f>H1554/G1554</f>
        <v>235.16819383874085</v>
      </c>
      <c r="L1554" s="191">
        <f>SQRT(INPUT!$B$2*J1554/INPUT!AQ55)</f>
        <v>0</v>
      </c>
      <c r="M1554" s="184">
        <f>IF(K1554&lt;=1.12*L1554,1,IF(K1554&lt;=1.4*L1554,1.12/K1554*L1554,1.57*L1554^2/K1554^2))</f>
        <v>0</v>
      </c>
      <c r="N1554" s="286">
        <f>IF(E1554="stiffened",IF(2*C1554*G1554/(INPUT!H55*INPUT!I55*INPUT!J55+INPUT!K55*INPUT!L55)&lt;=2.5,I1554*(M1554+0.87*(1-M1554)/SQRT(1+(B1554/C1554)^2)),I1554*(M1554+0.87*(1-M1554)/(SQRT(1+(B1554/C1554)^2)+B1554/C1554))),M1554*I1554)</f>
        <v>5277.0541860455469</v>
      </c>
    </row>
    <row r="1555">
      <c r="A1555" s="187">
        <f>A1358</f>
        <v>101</v>
      </c>
      <c r="B1555" s="174">
        <f>INPUT!AC56</f>
        <v>1587.5</v>
      </c>
      <c r="C1555" s="174">
        <f>K870</f>
        <v>2800</v>
      </c>
      <c r="D1555" s="191">
        <f>D1270</f>
        <v>700</v>
      </c>
      <c r="E1555" s="174" t="str">
        <f>IF(OR(AND(B1555&lt;=3*C1555,D1555=0),AND(B1555&lt;=1.5*C1555,D1555&gt;0)),"stiffened","unstiffened")</f>
        <v>stiffened</v>
      </c>
      <c r="F1555" s="380"/>
      <c r="G1555" s="343">
        <f>K1270</f>
        <v>12</v>
      </c>
      <c r="H1555" s="174">
        <f>E1270*K1270</f>
        <v>2822.01832606489</v>
      </c>
      <c r="I1555" s="191">
        <f>0.58*INPUT!AQ56*1000*H1555*G1555/10^6</f>
        <v>6972.6428800411295</v>
      </c>
      <c r="J1555" s="192">
        <f>IF(E1555="stiffened",5+5/(B1555/C1555)^2,5)</f>
        <v>20.554591109182219</v>
      </c>
      <c r="K1555" s="191">
        <f>H1555/G1555</f>
        <v>235.16819383874085</v>
      </c>
      <c r="L1555" s="191">
        <f>SQRT(INPUT!$B$2*J1555/INPUT!AQ56)</f>
        <v>0</v>
      </c>
      <c r="M1555" s="184">
        <f>IF(K1555&lt;=1.12*L1555,1,IF(K1555&lt;=1.4*L1555,1.12/K1555*L1555,1.57*L1555^2/K1555^2))</f>
        <v>0</v>
      </c>
      <c r="N1555" s="286">
        <f>IF(E1555="stiffened",IF(2*C1555*G1555/(INPUT!H56*INPUT!I56*INPUT!J56+INPUT!K56*INPUT!L56)&lt;=2.5,I1555*(M1555+0.87*(1-M1555)/SQRT(1+(B1555/C1555)^2)),I1555*(M1555+0.87*(1-M1555)/(SQRT(1+(B1555/C1555)^2)+B1555/C1555))),M1555*I1555)</f>
        <v>5277.0541860455469</v>
      </c>
    </row>
    <row r="1556">
      <c r="A1556" s="187">
        <f>A1359</f>
        <v>101</v>
      </c>
      <c r="B1556" s="174">
        <f>INPUT!AC57</f>
        <v>1587.5</v>
      </c>
      <c r="C1556" s="174">
        <f>K871</f>
        <v>2800</v>
      </c>
      <c r="D1556" s="191">
        <f>D1271</f>
        <v>700</v>
      </c>
      <c r="E1556" s="174" t="str">
        <f>IF(OR(AND(B1556&lt;=3*C1556,D1556=0),AND(B1556&lt;=1.5*C1556,D1556&gt;0)),"stiffened","unstiffened")</f>
        <v>stiffened</v>
      </c>
      <c r="F1556" s="380"/>
      <c r="G1556" s="343">
        <f>K1271</f>
        <v>12</v>
      </c>
      <c r="H1556" s="174">
        <f>E1271*K1271</f>
        <v>2822.01832606489</v>
      </c>
      <c r="I1556" s="191">
        <f>0.58*INPUT!AQ57*1000*H1556*G1556/10^6</f>
        <v>6972.6428800411295</v>
      </c>
      <c r="J1556" s="192">
        <f>IF(E1556="stiffened",5+5/(B1556/C1556)^2,5)</f>
        <v>20.554591109182219</v>
      </c>
      <c r="K1556" s="191">
        <f>H1556/G1556</f>
        <v>235.16819383874085</v>
      </c>
      <c r="L1556" s="191">
        <f>SQRT(INPUT!$B$2*J1556/INPUT!AQ57)</f>
        <v>0</v>
      </c>
      <c r="M1556" s="184">
        <f>IF(K1556&lt;=1.12*L1556,1,IF(K1556&lt;=1.4*L1556,1.12/K1556*L1556,1.57*L1556^2/K1556^2))</f>
        <v>0</v>
      </c>
      <c r="N1556" s="286">
        <f>IF(E1556="stiffened",IF(2*C1556*G1556/(INPUT!H57*INPUT!I57*INPUT!J57+INPUT!K57*INPUT!L57)&lt;=2.5,I1556*(M1556+0.87*(1-M1556)/SQRT(1+(B1556/C1556)^2)),I1556*(M1556+0.87*(1-M1556)/(SQRT(1+(B1556/C1556)^2)+B1556/C1556))),M1556*I1556)</f>
        <v>5277.0541860455469</v>
      </c>
    </row>
    <row r="1557">
      <c r="A1557" s="187">
        <f>A1360</f>
        <v>101</v>
      </c>
      <c r="B1557" s="174">
        <f>INPUT!AC58</f>
        <v>1587.5</v>
      </c>
      <c r="C1557" s="174">
        <f>K872</f>
        <v>2800</v>
      </c>
      <c r="D1557" s="191">
        <f>D1272</f>
        <v>700</v>
      </c>
      <c r="E1557" s="174" t="str">
        <f>IF(OR(AND(B1557&lt;=3*C1557,D1557=0),AND(B1557&lt;=1.5*C1557,D1557&gt;0)),"stiffened","unstiffened")</f>
        <v>stiffened</v>
      </c>
      <c r="F1557" s="380"/>
      <c r="G1557" s="343">
        <f>K1272</f>
        <v>12</v>
      </c>
      <c r="H1557" s="174">
        <f>E1272*K1272</f>
        <v>2822.01832606489</v>
      </c>
      <c r="I1557" s="191">
        <f>0.58*INPUT!AQ58*1000*H1557*G1557/10^6</f>
        <v>6972.6428800411295</v>
      </c>
      <c r="J1557" s="192">
        <f>IF(E1557="stiffened",5+5/(B1557/C1557)^2,5)</f>
        <v>20.554591109182219</v>
      </c>
      <c r="K1557" s="191">
        <f>H1557/G1557</f>
        <v>235.16819383874085</v>
      </c>
      <c r="L1557" s="191">
        <f>SQRT(INPUT!$B$2*J1557/INPUT!AQ58)</f>
        <v>0</v>
      </c>
      <c r="M1557" s="184">
        <f>IF(K1557&lt;=1.12*L1557,1,IF(K1557&lt;=1.4*L1557,1.12/K1557*L1557,1.57*L1557^2/K1557^2))</f>
        <v>0</v>
      </c>
      <c r="N1557" s="286">
        <f>IF(E1557="stiffened",IF(2*C1557*G1557/(INPUT!H58*INPUT!I58*INPUT!J58+INPUT!K58*INPUT!L58)&lt;=2.5,I1557*(M1557+0.87*(1-M1557)/SQRT(1+(B1557/C1557)^2)),I1557*(M1557+0.87*(1-M1557)/(SQRT(1+(B1557/C1557)^2)+B1557/C1557))),M1557*I1557)</f>
        <v>5277.0541860455469</v>
      </c>
    </row>
    <row r="1558">
      <c r="A1558" s="187">
        <f>A1361</f>
        <v>101</v>
      </c>
      <c r="B1558" s="174">
        <f>INPUT!AC59</f>
        <v>1587.5</v>
      </c>
      <c r="C1558" s="174">
        <f>K873</f>
        <v>2800</v>
      </c>
      <c r="D1558" s="191">
        <f>D1273</f>
        <v>700</v>
      </c>
      <c r="E1558" s="174" t="str">
        <f>IF(OR(AND(B1558&lt;=3*C1558,D1558=0),AND(B1558&lt;=1.5*C1558,D1558&gt;0)),"stiffened","unstiffened")</f>
        <v>stiffened</v>
      </c>
      <c r="F1558" s="380"/>
      <c r="G1558" s="343">
        <f>K1273</f>
        <v>12</v>
      </c>
      <c r="H1558" s="174">
        <f>E1273*K1273</f>
        <v>2822.01832606489</v>
      </c>
      <c r="I1558" s="191">
        <f>0.58*INPUT!AQ59*1000*H1558*G1558/10^6</f>
        <v>6972.6428800411295</v>
      </c>
      <c r="J1558" s="192">
        <f>IF(E1558="stiffened",5+5/(B1558/C1558)^2,5)</f>
        <v>20.554591109182219</v>
      </c>
      <c r="K1558" s="191">
        <f>H1558/G1558</f>
        <v>235.16819383874085</v>
      </c>
      <c r="L1558" s="191">
        <f>SQRT(INPUT!$B$2*J1558/INPUT!AQ59)</f>
        <v>0</v>
      </c>
      <c r="M1558" s="184">
        <f>IF(K1558&lt;=1.12*L1558,1,IF(K1558&lt;=1.4*L1558,1.12/K1558*L1558,1.57*L1558^2/K1558^2))</f>
        <v>0</v>
      </c>
      <c r="N1558" s="286">
        <f>IF(E1558="stiffened",IF(2*C1558*G1558/(INPUT!H59*INPUT!I59*INPUT!J59+INPUT!K59*INPUT!L59)&lt;=2.5,I1558*(M1558+0.87*(1-M1558)/SQRT(1+(B1558/C1558)^2)),I1558*(M1558+0.87*(1-M1558)/(SQRT(1+(B1558/C1558)^2)+B1558/C1558))),M1558*I1558)</f>
        <v>5277.0541860455469</v>
      </c>
    </row>
    <row r="1559">
      <c r="A1559" s="187">
        <f>A1362</f>
        <v>101</v>
      </c>
      <c r="B1559" s="174">
        <f>INPUT!AC60</f>
        <v>1587.5</v>
      </c>
      <c r="C1559" s="174">
        <f>K874</f>
        <v>2800</v>
      </c>
      <c r="D1559" s="191">
        <f>D1274</f>
        <v>700</v>
      </c>
      <c r="E1559" s="174" t="str">
        <f>IF(OR(AND(B1559&lt;=3*C1559,D1559=0),AND(B1559&lt;=1.5*C1559,D1559&gt;0)),"stiffened","unstiffened")</f>
        <v>stiffened</v>
      </c>
      <c r="F1559" s="380"/>
      <c r="G1559" s="343">
        <f>K1274</f>
        <v>12</v>
      </c>
      <c r="H1559" s="174">
        <f>E1274*K1274</f>
        <v>2822.01832606489</v>
      </c>
      <c r="I1559" s="191">
        <f>0.58*INPUT!AQ60*1000*H1559*G1559/10^6</f>
        <v>6972.6428800411295</v>
      </c>
      <c r="J1559" s="192">
        <f>IF(E1559="stiffened",5+5/(B1559/C1559)^2,5)</f>
        <v>20.554591109182219</v>
      </c>
      <c r="K1559" s="191">
        <f>H1559/G1559</f>
        <v>235.16819383874085</v>
      </c>
      <c r="L1559" s="191">
        <f>SQRT(INPUT!$B$2*J1559/INPUT!AQ60)</f>
        <v>0</v>
      </c>
      <c r="M1559" s="184">
        <f>IF(K1559&lt;=1.12*L1559,1,IF(K1559&lt;=1.4*L1559,1.12/K1559*L1559,1.57*L1559^2/K1559^2))</f>
        <v>0</v>
      </c>
      <c r="N1559" s="286">
        <f>IF(E1559="stiffened",IF(2*C1559*G1559/(INPUT!H60*INPUT!I60*INPUT!J60+INPUT!K60*INPUT!L60)&lt;=2.5,I1559*(M1559+0.87*(1-M1559)/SQRT(1+(B1559/C1559)^2)),I1559*(M1559+0.87*(1-M1559)/(SQRT(1+(B1559/C1559)^2)+B1559/C1559))),M1559*I1559)</f>
        <v>5277.0541860455469</v>
      </c>
    </row>
    <row r="1560">
      <c r="A1560" s="187">
        <f>A1363</f>
        <v>101</v>
      </c>
      <c r="B1560" s="174">
        <f>INPUT!AC61</f>
        <v>1587.5</v>
      </c>
      <c r="C1560" s="174">
        <f>K875</f>
        <v>2800</v>
      </c>
      <c r="D1560" s="191">
        <f>D1275</f>
        <v>700</v>
      </c>
      <c r="E1560" s="174" t="str">
        <f>IF(OR(AND(B1560&lt;=3*C1560,D1560=0),AND(B1560&lt;=1.5*C1560,D1560&gt;0)),"stiffened","unstiffened")</f>
        <v>stiffened</v>
      </c>
      <c r="F1560" s="380"/>
      <c r="G1560" s="343">
        <f>K1275</f>
        <v>12</v>
      </c>
      <c r="H1560" s="174">
        <f>E1275*K1275</f>
        <v>2822.01832606489</v>
      </c>
      <c r="I1560" s="191">
        <f>0.58*INPUT!AQ61*1000*H1560*G1560/10^6</f>
        <v>6972.6428800411295</v>
      </c>
      <c r="J1560" s="192">
        <f>IF(E1560="stiffened",5+5/(B1560/C1560)^2,5)</f>
        <v>20.554591109182219</v>
      </c>
      <c r="K1560" s="191">
        <f>H1560/G1560</f>
        <v>235.16819383874085</v>
      </c>
      <c r="L1560" s="191">
        <f>SQRT(INPUT!$B$2*J1560/INPUT!AQ61)</f>
        <v>0</v>
      </c>
      <c r="M1560" s="184">
        <f>IF(K1560&lt;=1.12*L1560,1,IF(K1560&lt;=1.4*L1560,1.12/K1560*L1560,1.57*L1560^2/K1560^2))</f>
        <v>0</v>
      </c>
      <c r="N1560" s="286">
        <f>IF(E1560="stiffened",IF(2*C1560*G1560/(INPUT!H61*INPUT!I61*INPUT!J61+INPUT!K61*INPUT!L61)&lt;=2.5,I1560*(M1560+0.87*(1-M1560)/SQRT(1+(B1560/C1560)^2)),I1560*(M1560+0.87*(1-M1560)/(SQRT(1+(B1560/C1560)^2)+B1560/C1560))),M1560*I1560)</f>
        <v>5277.0541860455469</v>
      </c>
    </row>
    <row r="1561">
      <c r="A1561" s="187">
        <f>A1364</f>
        <v>101</v>
      </c>
      <c r="B1561" s="174">
        <f>INPUT!AC62</f>
        <v>1587.5</v>
      </c>
      <c r="C1561" s="174">
        <f>K876</f>
        <v>2800</v>
      </c>
      <c r="D1561" s="191">
        <f>D1276</f>
        <v>700</v>
      </c>
      <c r="E1561" s="174" t="str">
        <f>IF(OR(AND(B1561&lt;=3*C1561,D1561=0),AND(B1561&lt;=1.5*C1561,D1561&gt;0)),"stiffened","unstiffened")</f>
        <v>stiffened</v>
      </c>
      <c r="F1561" s="380"/>
      <c r="G1561" s="343">
        <f>K1276</f>
        <v>12</v>
      </c>
      <c r="H1561" s="174">
        <f>E1276*K1276</f>
        <v>2822.01832606489</v>
      </c>
      <c r="I1561" s="191">
        <f>0.58*INPUT!AQ62*1000*H1561*G1561/10^6</f>
        <v>6972.6428800411295</v>
      </c>
      <c r="J1561" s="192">
        <f>IF(E1561="stiffened",5+5/(B1561/C1561)^2,5)</f>
        <v>20.554591109182219</v>
      </c>
      <c r="K1561" s="191">
        <f>H1561/G1561</f>
        <v>235.16819383874085</v>
      </c>
      <c r="L1561" s="191">
        <f>SQRT(INPUT!$B$2*J1561/INPUT!AQ62)</f>
        <v>0</v>
      </c>
      <c r="M1561" s="184">
        <f>IF(K1561&lt;=1.12*L1561,1,IF(K1561&lt;=1.4*L1561,1.12/K1561*L1561,1.57*L1561^2/K1561^2))</f>
        <v>0</v>
      </c>
      <c r="N1561" s="286">
        <f>IF(E1561="stiffened",IF(2*C1561*G1561/(INPUT!H62*INPUT!I62*INPUT!J62+INPUT!K62*INPUT!L62)&lt;=2.5,I1561*(M1561+0.87*(1-M1561)/SQRT(1+(B1561/C1561)^2)),I1561*(M1561+0.87*(1-M1561)/(SQRT(1+(B1561/C1561)^2)+B1561/C1561))),M1561*I1561)</f>
        <v>5277.0541860455469</v>
      </c>
    </row>
    <row r="1562">
      <c r="A1562" s="187">
        <f>A1365</f>
        <v>101</v>
      </c>
      <c r="B1562" s="174">
        <f>INPUT!AC63</f>
        <v>1587.5</v>
      </c>
      <c r="C1562" s="174">
        <f>K877</f>
        <v>2800</v>
      </c>
      <c r="D1562" s="191">
        <f>D1277</f>
        <v>700</v>
      </c>
      <c r="E1562" s="174" t="str">
        <f>IF(OR(AND(B1562&lt;=3*C1562,D1562=0),AND(B1562&lt;=1.5*C1562,D1562&gt;0)),"stiffened","unstiffened")</f>
        <v>stiffened</v>
      </c>
      <c r="F1562" s="380"/>
      <c r="G1562" s="343">
        <f>K1277</f>
        <v>12</v>
      </c>
      <c r="H1562" s="174">
        <f>E1277*K1277</f>
        <v>2822.01832606489</v>
      </c>
      <c r="I1562" s="191">
        <f>0.58*INPUT!AQ63*1000*H1562*G1562/10^6</f>
        <v>6972.6428800411295</v>
      </c>
      <c r="J1562" s="192">
        <f>IF(E1562="stiffened",5+5/(B1562/C1562)^2,5)</f>
        <v>20.554591109182219</v>
      </c>
      <c r="K1562" s="191">
        <f>H1562/G1562</f>
        <v>235.16819383874085</v>
      </c>
      <c r="L1562" s="191">
        <f>SQRT(INPUT!$B$2*J1562/INPUT!AQ63)</f>
        <v>0</v>
      </c>
      <c r="M1562" s="184">
        <f>IF(K1562&lt;=1.12*L1562,1,IF(K1562&lt;=1.4*L1562,1.12/K1562*L1562,1.57*L1562^2/K1562^2))</f>
        <v>0</v>
      </c>
      <c r="N1562" s="286">
        <f>IF(E1562="stiffened",IF(2*C1562*G1562/(INPUT!H63*INPUT!I63*INPUT!J63+INPUT!K63*INPUT!L63)&lt;=2.5,I1562*(M1562+0.87*(1-M1562)/SQRT(1+(B1562/C1562)^2)),I1562*(M1562+0.87*(1-M1562)/(SQRT(1+(B1562/C1562)^2)+B1562/C1562))),M1562*I1562)</f>
        <v>5277.0541860455469</v>
      </c>
    </row>
    <row r="1563">
      <c r="A1563" s="187">
        <f>A1366</f>
        <v>101</v>
      </c>
      <c r="B1563" s="174">
        <f>INPUT!AC64</f>
        <v>1587.5</v>
      </c>
      <c r="C1563" s="174">
        <f>K878</f>
        <v>2800</v>
      </c>
      <c r="D1563" s="191">
        <f>D1278</f>
        <v>700</v>
      </c>
      <c r="E1563" s="174" t="str">
        <f>IF(OR(AND(B1563&lt;=3*C1563,D1563=0),AND(B1563&lt;=1.5*C1563,D1563&gt;0)),"stiffened","unstiffened")</f>
        <v>stiffened</v>
      </c>
      <c r="F1563" s="380"/>
      <c r="G1563" s="343">
        <f>K1278</f>
        <v>12</v>
      </c>
      <c r="H1563" s="174">
        <f>E1278*K1278</f>
        <v>2822.01832606489</v>
      </c>
      <c r="I1563" s="191">
        <f>0.58*INPUT!AQ64*1000*H1563*G1563/10^6</f>
        <v>6972.6428800411295</v>
      </c>
      <c r="J1563" s="192">
        <f>IF(E1563="stiffened",5+5/(B1563/C1563)^2,5)</f>
        <v>20.554591109182219</v>
      </c>
      <c r="K1563" s="191">
        <f>H1563/G1563</f>
        <v>235.16819383874085</v>
      </c>
      <c r="L1563" s="191">
        <f>SQRT(INPUT!$B$2*J1563/INPUT!AQ64)</f>
        <v>0</v>
      </c>
      <c r="M1563" s="184">
        <f>IF(K1563&lt;=1.12*L1563,1,IF(K1563&lt;=1.4*L1563,1.12/K1563*L1563,1.57*L1563^2/K1563^2))</f>
        <v>0</v>
      </c>
      <c r="N1563" s="286">
        <f>IF(E1563="stiffened",IF(2*C1563*G1563/(INPUT!H64*INPUT!I64*INPUT!J64+INPUT!K64*INPUT!L64)&lt;=2.5,I1563*(M1563+0.87*(1-M1563)/SQRT(1+(B1563/C1563)^2)),I1563*(M1563+0.87*(1-M1563)/(SQRT(1+(B1563/C1563)^2)+B1563/C1563))),M1563*I1563)</f>
        <v>5277.0541860455469</v>
      </c>
    </row>
    <row r="1564">
      <c r="A1564" s="187">
        <f>A1367</f>
        <v>101</v>
      </c>
      <c r="B1564" s="174">
        <f>INPUT!AC65</f>
        <v>1587.5</v>
      </c>
      <c r="C1564" s="174">
        <f>K879</f>
        <v>2800</v>
      </c>
      <c r="D1564" s="191">
        <f>D1279</f>
        <v>700</v>
      </c>
      <c r="E1564" s="174" t="str">
        <f>IF(OR(AND(B1564&lt;=3*C1564,D1564=0),AND(B1564&lt;=1.5*C1564,D1564&gt;0)),"stiffened","unstiffened")</f>
        <v>stiffened</v>
      </c>
      <c r="F1564" s="380"/>
      <c r="G1564" s="343">
        <f>K1279</f>
        <v>12</v>
      </c>
      <c r="H1564" s="174">
        <f>E1279*K1279</f>
        <v>2822.01832606489</v>
      </c>
      <c r="I1564" s="191">
        <f>0.58*INPUT!AQ65*1000*H1564*G1564/10^6</f>
        <v>6972.6428800411295</v>
      </c>
      <c r="J1564" s="192">
        <f>IF(E1564="stiffened",5+5/(B1564/C1564)^2,5)</f>
        <v>20.554591109182219</v>
      </c>
      <c r="K1564" s="191">
        <f>H1564/G1564</f>
        <v>235.16819383874085</v>
      </c>
      <c r="L1564" s="191">
        <f>SQRT(INPUT!$B$2*J1564/INPUT!AQ65)</f>
        <v>0</v>
      </c>
      <c r="M1564" s="184">
        <f>IF(K1564&lt;=1.12*L1564,1,IF(K1564&lt;=1.4*L1564,1.12/K1564*L1564,1.57*L1564^2/K1564^2))</f>
        <v>0</v>
      </c>
      <c r="N1564" s="286">
        <f>IF(E1564="stiffened",IF(2*C1564*G1564/(INPUT!H65*INPUT!I65*INPUT!J65+INPUT!K65*INPUT!L65)&lt;=2.5,I1564*(M1564+0.87*(1-M1564)/SQRT(1+(B1564/C1564)^2)),I1564*(M1564+0.87*(1-M1564)/(SQRT(1+(B1564/C1564)^2)+B1564/C1564))),M1564*I1564)</f>
        <v>5277.0541860455469</v>
      </c>
    </row>
    <row r="1565">
      <c r="A1565" s="187">
        <f>A1368</f>
        <v>101</v>
      </c>
      <c r="B1565" s="174">
        <f>INPUT!AC66</f>
        <v>1587.5</v>
      </c>
      <c r="C1565" s="174">
        <f>K880</f>
        <v>2800</v>
      </c>
      <c r="D1565" s="191">
        <f>D1280</f>
        <v>700</v>
      </c>
      <c r="E1565" s="174" t="str">
        <f>IF(OR(AND(B1565&lt;=3*C1565,D1565=0),AND(B1565&lt;=1.5*C1565,D1565&gt;0)),"stiffened","unstiffened")</f>
        <v>stiffened</v>
      </c>
      <c r="F1565" s="380"/>
      <c r="G1565" s="343">
        <f>K1280</f>
        <v>12</v>
      </c>
      <c r="H1565" s="174">
        <f>E1280*K1280</f>
        <v>2822.01832606489</v>
      </c>
      <c r="I1565" s="191">
        <f>0.58*INPUT!AQ66*1000*H1565*G1565/10^6</f>
        <v>6972.6428800411295</v>
      </c>
      <c r="J1565" s="192">
        <f>IF(E1565="stiffened",5+5/(B1565/C1565)^2,5)</f>
        <v>20.554591109182219</v>
      </c>
      <c r="K1565" s="191">
        <f>H1565/G1565</f>
        <v>235.16819383874085</v>
      </c>
      <c r="L1565" s="191">
        <f>SQRT(INPUT!$B$2*J1565/INPUT!AQ66)</f>
        <v>0</v>
      </c>
      <c r="M1565" s="184">
        <f>IF(K1565&lt;=1.12*L1565,1,IF(K1565&lt;=1.4*L1565,1.12/K1565*L1565,1.57*L1565^2/K1565^2))</f>
        <v>0</v>
      </c>
      <c r="N1565" s="286">
        <f>IF(E1565="stiffened",IF(2*C1565*G1565/(INPUT!H66*INPUT!I66*INPUT!J66+INPUT!K66*INPUT!L66)&lt;=2.5,I1565*(M1565+0.87*(1-M1565)/SQRT(1+(B1565/C1565)^2)),I1565*(M1565+0.87*(1-M1565)/(SQRT(1+(B1565/C1565)^2)+B1565/C1565))),M1565*I1565)</f>
        <v>5277.0541860455469</v>
      </c>
    </row>
    <row r="1566">
      <c r="A1566" s="187">
        <f>A1369</f>
        <v>101</v>
      </c>
      <c r="B1566" s="174">
        <f>INPUT!AC67</f>
        <v>1587.5</v>
      </c>
      <c r="C1566" s="174">
        <f>K881</f>
        <v>2800</v>
      </c>
      <c r="D1566" s="191">
        <f>D1281</f>
        <v>700</v>
      </c>
      <c r="E1566" s="174" t="str">
        <f>IF(OR(AND(B1566&lt;=3*C1566,D1566=0),AND(B1566&lt;=1.5*C1566,D1566&gt;0)),"stiffened","unstiffened")</f>
        <v>stiffened</v>
      </c>
      <c r="F1566" s="380"/>
      <c r="G1566" s="343">
        <f>K1281</f>
        <v>12</v>
      </c>
      <c r="H1566" s="174">
        <f>E1281*K1281</f>
        <v>2822.01832606489</v>
      </c>
      <c r="I1566" s="191">
        <f>0.58*INPUT!AQ67*1000*H1566*G1566/10^6</f>
        <v>6972.6428800411295</v>
      </c>
      <c r="J1566" s="192">
        <f>IF(E1566="stiffened",5+5/(B1566/C1566)^2,5)</f>
        <v>20.554591109182219</v>
      </c>
      <c r="K1566" s="191">
        <f>H1566/G1566</f>
        <v>235.16819383874085</v>
      </c>
      <c r="L1566" s="191">
        <f>SQRT(INPUT!$B$2*J1566/INPUT!AQ67)</f>
        <v>0</v>
      </c>
      <c r="M1566" s="184">
        <f>IF(K1566&lt;=1.12*L1566,1,IF(K1566&lt;=1.4*L1566,1.12/K1566*L1566,1.57*L1566^2/K1566^2))</f>
        <v>0</v>
      </c>
      <c r="N1566" s="286">
        <f>IF(E1566="stiffened",IF(2*C1566*G1566/(INPUT!H67*INPUT!I67*INPUT!J67+INPUT!K67*INPUT!L67)&lt;=2.5,I1566*(M1566+0.87*(1-M1566)/SQRT(1+(B1566/C1566)^2)),I1566*(M1566+0.87*(1-M1566)/(SQRT(1+(B1566/C1566)^2)+B1566/C1566))),M1566*I1566)</f>
        <v>5277.0541860455469</v>
      </c>
    </row>
    <row r="1567">
      <c r="A1567" s="187">
        <f>A1370</f>
        <v>101</v>
      </c>
      <c r="B1567" s="174">
        <f>INPUT!AC68</f>
        <v>1587.5</v>
      </c>
      <c r="C1567" s="174">
        <f>K882</f>
        <v>2800</v>
      </c>
      <c r="D1567" s="191">
        <f>D1282</f>
        <v>700</v>
      </c>
      <c r="E1567" s="174" t="str">
        <f>IF(OR(AND(B1567&lt;=3*C1567,D1567=0),AND(B1567&lt;=1.5*C1567,D1567&gt;0)),"stiffened","unstiffened")</f>
        <v>stiffened</v>
      </c>
      <c r="F1567" s="380"/>
      <c r="G1567" s="343">
        <f>K1282</f>
        <v>12</v>
      </c>
      <c r="H1567" s="174">
        <f>E1282*K1282</f>
        <v>2822.01832606489</v>
      </c>
      <c r="I1567" s="191">
        <f>0.58*INPUT!AQ68*1000*H1567*G1567/10^6</f>
        <v>6972.6428800411295</v>
      </c>
      <c r="J1567" s="192">
        <f>IF(E1567="stiffened",5+5/(B1567/C1567)^2,5)</f>
        <v>20.554591109182219</v>
      </c>
      <c r="K1567" s="191">
        <f>H1567/G1567</f>
        <v>235.16819383874085</v>
      </c>
      <c r="L1567" s="191">
        <f>SQRT(INPUT!$B$2*J1567/INPUT!AQ68)</f>
        <v>0</v>
      </c>
      <c r="M1567" s="184">
        <f>IF(K1567&lt;=1.12*L1567,1,IF(K1567&lt;=1.4*L1567,1.12/K1567*L1567,1.57*L1567^2/K1567^2))</f>
        <v>0</v>
      </c>
      <c r="N1567" s="286">
        <f>IF(E1567="stiffened",IF(2*C1567*G1567/(INPUT!H68*INPUT!I68*INPUT!J68+INPUT!K68*INPUT!L68)&lt;=2.5,I1567*(M1567+0.87*(1-M1567)/SQRT(1+(B1567/C1567)^2)),I1567*(M1567+0.87*(1-M1567)/(SQRT(1+(B1567/C1567)^2)+B1567/C1567))),M1567*I1567)</f>
        <v>5277.0541860455469</v>
      </c>
    </row>
    <row r="1568">
      <c r="A1568" s="187">
        <f>A1371</f>
        <v>101</v>
      </c>
      <c r="B1568" s="174">
        <f>INPUT!AC69</f>
        <v>1587.5</v>
      </c>
      <c r="C1568" s="174">
        <f>K883</f>
        <v>2800</v>
      </c>
      <c r="D1568" s="191">
        <f>D1283</f>
        <v>700</v>
      </c>
      <c r="E1568" s="174" t="str">
        <f>IF(OR(AND(B1568&lt;=3*C1568,D1568=0),AND(B1568&lt;=1.5*C1568,D1568&gt;0)),"stiffened","unstiffened")</f>
        <v>stiffened</v>
      </c>
      <c r="F1568" s="380"/>
      <c r="G1568" s="343">
        <f>K1283</f>
        <v>12</v>
      </c>
      <c r="H1568" s="174">
        <f>E1283*K1283</f>
        <v>2822.01832606489</v>
      </c>
      <c r="I1568" s="191">
        <f>0.58*INPUT!AQ69*1000*H1568*G1568/10^6</f>
        <v>6972.6428800411295</v>
      </c>
      <c r="J1568" s="192">
        <f>IF(E1568="stiffened",5+5/(B1568/C1568)^2,5)</f>
        <v>20.554591109182219</v>
      </c>
      <c r="K1568" s="191">
        <f>H1568/G1568</f>
        <v>235.16819383874085</v>
      </c>
      <c r="L1568" s="191">
        <f>SQRT(INPUT!$B$2*J1568/INPUT!AQ69)</f>
        <v>0</v>
      </c>
      <c r="M1568" s="184">
        <f>IF(K1568&lt;=1.12*L1568,1,IF(K1568&lt;=1.4*L1568,1.12/K1568*L1568,1.57*L1568^2/K1568^2))</f>
        <v>0</v>
      </c>
      <c r="N1568" s="286">
        <f>IF(E1568="stiffened",IF(2*C1568*G1568/(INPUT!H69*INPUT!I69*INPUT!J69+INPUT!K69*INPUT!L69)&lt;=2.5,I1568*(M1568+0.87*(1-M1568)/SQRT(1+(B1568/C1568)^2)),I1568*(M1568+0.87*(1-M1568)/(SQRT(1+(B1568/C1568)^2)+B1568/C1568))),M1568*I1568)</f>
        <v>5277.0541860455469</v>
      </c>
    </row>
    <row r="1569">
      <c r="A1569" s="187">
        <f>A1372</f>
        <v>101</v>
      </c>
      <c r="B1569" s="174">
        <f>INPUT!AC70</f>
        <v>1587.5</v>
      </c>
      <c r="C1569" s="174">
        <f>K884</f>
        <v>2800</v>
      </c>
      <c r="D1569" s="191">
        <f>D1284</f>
        <v>700</v>
      </c>
      <c r="E1569" s="174" t="str">
        <f>IF(OR(AND(B1569&lt;=3*C1569,D1569=0),AND(B1569&lt;=1.5*C1569,D1569&gt;0)),"stiffened","unstiffened")</f>
        <v>stiffened</v>
      </c>
      <c r="F1569" s="380"/>
      <c r="G1569" s="343">
        <f>K1284</f>
        <v>12</v>
      </c>
      <c r="H1569" s="174">
        <f>E1284*K1284</f>
        <v>2822.01832606489</v>
      </c>
      <c r="I1569" s="191">
        <f>0.58*INPUT!AQ70*1000*H1569*G1569/10^6</f>
        <v>6972.6428800411295</v>
      </c>
      <c r="J1569" s="192">
        <f>IF(E1569="stiffened",5+5/(B1569/C1569)^2,5)</f>
        <v>20.554591109182219</v>
      </c>
      <c r="K1569" s="191">
        <f>H1569/G1569</f>
        <v>235.16819383874085</v>
      </c>
      <c r="L1569" s="191">
        <f>SQRT(INPUT!$B$2*J1569/INPUT!AQ70)</f>
        <v>0</v>
      </c>
      <c r="M1569" s="184">
        <f>IF(K1569&lt;=1.12*L1569,1,IF(K1569&lt;=1.4*L1569,1.12/K1569*L1569,1.57*L1569^2/K1569^2))</f>
        <v>0</v>
      </c>
      <c r="N1569" s="286">
        <f>IF(E1569="stiffened",IF(2*C1569*G1569/(INPUT!H70*INPUT!I70*INPUT!J70+INPUT!K70*INPUT!L70)&lt;=2.5,I1569*(M1569+0.87*(1-M1569)/SQRT(1+(B1569/C1569)^2)),I1569*(M1569+0.87*(1-M1569)/(SQRT(1+(B1569/C1569)^2)+B1569/C1569))),M1569*I1569)</f>
        <v>5277.0541860455469</v>
      </c>
    </row>
    <row r="1570">
      <c r="A1570" s="187">
        <f>A1373</f>
        <v>101</v>
      </c>
      <c r="B1570" s="174">
        <f>INPUT!AC71</f>
        <v>1587.5</v>
      </c>
      <c r="C1570" s="174">
        <f>K885</f>
        <v>2800</v>
      </c>
      <c r="D1570" s="191">
        <f>D1285</f>
        <v>700</v>
      </c>
      <c r="E1570" s="174" t="str">
        <f>IF(OR(AND(B1570&lt;=3*C1570,D1570=0),AND(B1570&lt;=1.5*C1570,D1570&gt;0)),"stiffened","unstiffened")</f>
        <v>stiffened</v>
      </c>
      <c r="F1570" s="380"/>
      <c r="G1570" s="343">
        <f>K1285</f>
        <v>12</v>
      </c>
      <c r="H1570" s="174">
        <f>E1285*K1285</f>
        <v>2822.01832606489</v>
      </c>
      <c r="I1570" s="191">
        <f>0.58*INPUT!AQ71*1000*H1570*G1570/10^6</f>
        <v>6972.6428800411295</v>
      </c>
      <c r="J1570" s="192">
        <f>IF(E1570="stiffened",5+5/(B1570/C1570)^2,5)</f>
        <v>20.554591109182219</v>
      </c>
      <c r="K1570" s="191">
        <f>H1570/G1570</f>
        <v>235.16819383874085</v>
      </c>
      <c r="L1570" s="191">
        <f>SQRT(INPUT!$B$2*J1570/INPUT!AQ71)</f>
        <v>0</v>
      </c>
      <c r="M1570" s="184">
        <f>IF(K1570&lt;=1.12*L1570,1,IF(K1570&lt;=1.4*L1570,1.12/K1570*L1570,1.57*L1570^2/K1570^2))</f>
        <v>0</v>
      </c>
      <c r="N1570" s="286">
        <f>IF(E1570="stiffened",IF(2*C1570*G1570/(INPUT!H71*INPUT!I71*INPUT!J71+INPUT!K71*INPUT!L71)&lt;=2.5,I1570*(M1570+0.87*(1-M1570)/SQRT(1+(B1570/C1570)^2)),I1570*(M1570+0.87*(1-M1570)/(SQRT(1+(B1570/C1570)^2)+B1570/C1570))),M1570*I1570)</f>
        <v>5277.0541860455469</v>
      </c>
    </row>
    <row r="1571">
      <c r="A1571" s="187">
        <f>A1374</f>
        <v>101</v>
      </c>
      <c r="B1571" s="174">
        <f>INPUT!AC72</f>
        <v>1587.5</v>
      </c>
      <c r="C1571" s="174">
        <f>K886</f>
        <v>2800</v>
      </c>
      <c r="D1571" s="191">
        <f>D1286</f>
        <v>700</v>
      </c>
      <c r="E1571" s="174" t="str">
        <f>IF(OR(AND(B1571&lt;=3*C1571,D1571=0),AND(B1571&lt;=1.5*C1571,D1571&gt;0)),"stiffened","unstiffened")</f>
        <v>stiffened</v>
      </c>
      <c r="F1571" s="380"/>
      <c r="G1571" s="343">
        <f>K1286</f>
        <v>12</v>
      </c>
      <c r="H1571" s="174">
        <f>E1286*K1286</f>
        <v>2822.01832606489</v>
      </c>
      <c r="I1571" s="191">
        <f>0.58*INPUT!AQ72*1000*H1571*G1571/10^6</f>
        <v>6972.6428800411295</v>
      </c>
      <c r="J1571" s="192">
        <f>IF(E1571="stiffened",5+5/(B1571/C1571)^2,5)</f>
        <v>20.554591109182219</v>
      </c>
      <c r="K1571" s="191">
        <f>H1571/G1571</f>
        <v>235.16819383874085</v>
      </c>
      <c r="L1571" s="191">
        <f>SQRT(INPUT!$B$2*J1571/INPUT!AQ72)</f>
        <v>0</v>
      </c>
      <c r="M1571" s="184">
        <f>IF(K1571&lt;=1.12*L1571,1,IF(K1571&lt;=1.4*L1571,1.12/K1571*L1571,1.57*L1571^2/K1571^2))</f>
        <v>0</v>
      </c>
      <c r="N1571" s="286">
        <f>IF(E1571="stiffened",IF(2*C1571*G1571/(INPUT!H72*INPUT!I72*INPUT!J72+INPUT!K72*INPUT!L72)&lt;=2.5,I1571*(M1571+0.87*(1-M1571)/SQRT(1+(B1571/C1571)^2)),I1571*(M1571+0.87*(1-M1571)/(SQRT(1+(B1571/C1571)^2)+B1571/C1571))),M1571*I1571)</f>
        <v>5277.0541860455469</v>
      </c>
    </row>
    <row r="1572">
      <c r="A1572" s="187">
        <f>A1375</f>
        <v>101</v>
      </c>
      <c r="B1572" s="174">
        <f>INPUT!AC73</f>
        <v>1587.5</v>
      </c>
      <c r="C1572" s="174">
        <f>K887</f>
        <v>2800</v>
      </c>
      <c r="D1572" s="191">
        <f>D1287</f>
        <v>700</v>
      </c>
      <c r="E1572" s="174" t="str">
        <f>IF(OR(AND(B1572&lt;=3*C1572,D1572=0),AND(B1572&lt;=1.5*C1572,D1572&gt;0)),"stiffened","unstiffened")</f>
        <v>stiffened</v>
      </c>
      <c r="F1572" s="380"/>
      <c r="G1572" s="343">
        <f>K1287</f>
        <v>12</v>
      </c>
      <c r="H1572" s="174">
        <f>E1287*K1287</f>
        <v>2822.01832606489</v>
      </c>
      <c r="I1572" s="191">
        <f>0.58*INPUT!AQ73*1000*H1572*G1572/10^6</f>
        <v>6972.6428800411295</v>
      </c>
      <c r="J1572" s="192">
        <f>IF(E1572="stiffened",5+5/(B1572/C1572)^2,5)</f>
        <v>20.554591109182219</v>
      </c>
      <c r="K1572" s="191">
        <f>H1572/G1572</f>
        <v>235.16819383874085</v>
      </c>
      <c r="L1572" s="191">
        <f>SQRT(INPUT!$B$2*J1572/INPUT!AQ73)</f>
        <v>0</v>
      </c>
      <c r="M1572" s="184">
        <f>IF(K1572&lt;=1.12*L1572,1,IF(K1572&lt;=1.4*L1572,1.12/K1572*L1572,1.57*L1572^2/K1572^2))</f>
        <v>0</v>
      </c>
      <c r="N1572" s="286">
        <f>IF(E1572="stiffened",IF(2*C1572*G1572/(INPUT!H73*INPUT!I73*INPUT!J73+INPUT!K73*INPUT!L73)&lt;=2.5,I1572*(M1572+0.87*(1-M1572)/SQRT(1+(B1572/C1572)^2)),I1572*(M1572+0.87*(1-M1572)/(SQRT(1+(B1572/C1572)^2)+B1572/C1572))),M1572*I1572)</f>
        <v>5277.0541860455469</v>
      </c>
    </row>
    <row r="1573">
      <c r="A1573" s="187">
        <f>A1376</f>
        <v>101</v>
      </c>
      <c r="B1573" s="174">
        <f>INPUT!AC74</f>
        <v>1587.5</v>
      </c>
      <c r="C1573" s="174">
        <f>K888</f>
        <v>2800</v>
      </c>
      <c r="D1573" s="191">
        <f>D1288</f>
        <v>700</v>
      </c>
      <c r="E1573" s="174" t="str">
        <f>IF(OR(AND(B1573&lt;=3*C1573,D1573=0),AND(B1573&lt;=1.5*C1573,D1573&gt;0)),"stiffened","unstiffened")</f>
        <v>stiffened</v>
      </c>
      <c r="F1573" s="380"/>
      <c r="G1573" s="343">
        <f>K1288</f>
        <v>12</v>
      </c>
      <c r="H1573" s="174">
        <f>E1288*K1288</f>
        <v>2822.01832606489</v>
      </c>
      <c r="I1573" s="191">
        <f>0.58*INPUT!AQ74*1000*H1573*G1573/10^6</f>
        <v>6972.6428800411295</v>
      </c>
      <c r="J1573" s="192">
        <f>IF(E1573="stiffened",5+5/(B1573/C1573)^2,5)</f>
        <v>20.554591109182219</v>
      </c>
      <c r="K1573" s="191">
        <f>H1573/G1573</f>
        <v>235.16819383874085</v>
      </c>
      <c r="L1573" s="191">
        <f>SQRT(INPUT!$B$2*J1573/INPUT!AQ74)</f>
        <v>0</v>
      </c>
      <c r="M1573" s="184">
        <f>IF(K1573&lt;=1.12*L1573,1,IF(K1573&lt;=1.4*L1573,1.12/K1573*L1573,1.57*L1573^2/K1573^2))</f>
        <v>0</v>
      </c>
      <c r="N1573" s="286">
        <f>IF(E1573="stiffened",IF(2*C1573*G1573/(INPUT!H74*INPUT!I74*INPUT!J74+INPUT!K74*INPUT!L74)&lt;=2.5,I1573*(M1573+0.87*(1-M1573)/SQRT(1+(B1573/C1573)^2)),I1573*(M1573+0.87*(1-M1573)/(SQRT(1+(B1573/C1573)^2)+B1573/C1573))),M1573*I1573)</f>
        <v>5277.0541860455469</v>
      </c>
    </row>
    <row r="1574">
      <c r="A1574" s="187">
        <f>A1377</f>
        <v>101</v>
      </c>
      <c r="B1574" s="174">
        <f>INPUT!AC75</f>
        <v>1587.5</v>
      </c>
      <c r="C1574" s="174">
        <f>K889</f>
        <v>2800</v>
      </c>
      <c r="D1574" s="191">
        <f>D1289</f>
        <v>700</v>
      </c>
      <c r="E1574" s="174" t="str">
        <f>IF(OR(AND(B1574&lt;=3*C1574,D1574=0),AND(B1574&lt;=1.5*C1574,D1574&gt;0)),"stiffened","unstiffened")</f>
        <v>stiffened</v>
      </c>
      <c r="F1574" s="380"/>
      <c r="G1574" s="343">
        <f>K1289</f>
        <v>12</v>
      </c>
      <c r="H1574" s="174">
        <f>E1289*K1289</f>
        <v>2822.01832606489</v>
      </c>
      <c r="I1574" s="191">
        <f>0.58*INPUT!AQ75*1000*H1574*G1574/10^6</f>
        <v>6972.6428800411295</v>
      </c>
      <c r="J1574" s="192">
        <f>IF(E1574="stiffened",5+5/(B1574/C1574)^2,5)</f>
        <v>20.554591109182219</v>
      </c>
      <c r="K1574" s="191">
        <f>H1574/G1574</f>
        <v>235.16819383874085</v>
      </c>
      <c r="L1574" s="191">
        <f>SQRT(INPUT!$B$2*J1574/INPUT!AQ75)</f>
        <v>0</v>
      </c>
      <c r="M1574" s="184">
        <f>IF(K1574&lt;=1.12*L1574,1,IF(K1574&lt;=1.4*L1574,1.12/K1574*L1574,1.57*L1574^2/K1574^2))</f>
        <v>0</v>
      </c>
      <c r="N1574" s="286">
        <f>IF(E1574="stiffened",IF(2*C1574*G1574/(INPUT!H75*INPUT!I75*INPUT!J75+INPUT!K75*INPUT!L75)&lt;=2.5,I1574*(M1574+0.87*(1-M1574)/SQRT(1+(B1574/C1574)^2)),I1574*(M1574+0.87*(1-M1574)/(SQRT(1+(B1574/C1574)^2)+B1574/C1574))),M1574*I1574)</f>
        <v>5277.0541860455469</v>
      </c>
    </row>
    <row r="1575">
      <c r="A1575" s="187">
        <f>A1378</f>
        <v>101</v>
      </c>
      <c r="B1575" s="174">
        <f>INPUT!AC76</f>
        <v>1587.5</v>
      </c>
      <c r="C1575" s="174">
        <f>K890</f>
        <v>2800</v>
      </c>
      <c r="D1575" s="191">
        <f>D1290</f>
        <v>700</v>
      </c>
      <c r="E1575" s="174" t="str">
        <f>IF(OR(AND(B1575&lt;=3*C1575,D1575=0),AND(B1575&lt;=1.5*C1575,D1575&gt;0)),"stiffened","unstiffened")</f>
        <v>stiffened</v>
      </c>
      <c r="F1575" s="380"/>
      <c r="G1575" s="343">
        <f>K1290</f>
        <v>12</v>
      </c>
      <c r="H1575" s="174">
        <f>E1290*K1290</f>
        <v>2822.01832606489</v>
      </c>
      <c r="I1575" s="191">
        <f>0.58*INPUT!AQ76*1000*H1575*G1575/10^6</f>
        <v>6972.6428800411295</v>
      </c>
      <c r="J1575" s="192">
        <f>IF(E1575="stiffened",5+5/(B1575/C1575)^2,5)</f>
        <v>20.554591109182219</v>
      </c>
      <c r="K1575" s="191">
        <f>H1575/G1575</f>
        <v>235.16819383874085</v>
      </c>
      <c r="L1575" s="191">
        <f>SQRT(INPUT!$B$2*J1575/INPUT!AQ76)</f>
        <v>0</v>
      </c>
      <c r="M1575" s="184">
        <f>IF(K1575&lt;=1.12*L1575,1,IF(K1575&lt;=1.4*L1575,1.12/K1575*L1575,1.57*L1575^2/K1575^2))</f>
        <v>0</v>
      </c>
      <c r="N1575" s="286">
        <f>IF(E1575="stiffened",IF(2*C1575*G1575/(INPUT!H76*INPUT!I76*INPUT!J76+INPUT!K76*INPUT!L76)&lt;=2.5,I1575*(M1575+0.87*(1-M1575)/SQRT(1+(B1575/C1575)^2)),I1575*(M1575+0.87*(1-M1575)/(SQRT(1+(B1575/C1575)^2)+B1575/C1575))),M1575*I1575)</f>
        <v>5277.0541860455469</v>
      </c>
    </row>
    <row r="1576">
      <c r="A1576" s="187">
        <f>A1379</f>
        <v>101</v>
      </c>
      <c r="B1576" s="174">
        <f>INPUT!AC77</f>
        <v>1587.5</v>
      </c>
      <c r="C1576" s="174">
        <f>K891</f>
        <v>2800</v>
      </c>
      <c r="D1576" s="191">
        <f>D1291</f>
        <v>700</v>
      </c>
      <c r="E1576" s="174" t="str">
        <f>IF(OR(AND(B1576&lt;=3*C1576,D1576=0),AND(B1576&lt;=1.5*C1576,D1576&gt;0)),"stiffened","unstiffened")</f>
        <v>stiffened</v>
      </c>
      <c r="F1576" s="380"/>
      <c r="G1576" s="343">
        <f>K1291</f>
        <v>12</v>
      </c>
      <c r="H1576" s="174">
        <f>E1291*K1291</f>
        <v>2822.01832606489</v>
      </c>
      <c r="I1576" s="191">
        <f>0.58*INPUT!AQ77*1000*H1576*G1576/10^6</f>
        <v>6972.6428800411295</v>
      </c>
      <c r="J1576" s="192">
        <f>IF(E1576="stiffened",5+5/(B1576/C1576)^2,5)</f>
        <v>20.554591109182219</v>
      </c>
      <c r="K1576" s="191">
        <f>H1576/G1576</f>
        <v>235.16819383874085</v>
      </c>
      <c r="L1576" s="191">
        <f>SQRT(INPUT!$B$2*J1576/INPUT!AQ77)</f>
        <v>0</v>
      </c>
      <c r="M1576" s="184">
        <f>IF(K1576&lt;=1.12*L1576,1,IF(K1576&lt;=1.4*L1576,1.12/K1576*L1576,1.57*L1576^2/K1576^2))</f>
        <v>0</v>
      </c>
      <c r="N1576" s="286">
        <f>IF(E1576="stiffened",IF(2*C1576*G1576/(INPUT!H77*INPUT!I77*INPUT!J77+INPUT!K77*INPUT!L77)&lt;=2.5,I1576*(M1576+0.87*(1-M1576)/SQRT(1+(B1576/C1576)^2)),I1576*(M1576+0.87*(1-M1576)/(SQRT(1+(B1576/C1576)^2)+B1576/C1576))),M1576*I1576)</f>
        <v>5277.0541860455469</v>
      </c>
    </row>
    <row r="1577">
      <c r="A1577" s="187">
        <f>A1380</f>
        <v>101</v>
      </c>
      <c r="B1577" s="174">
        <f>INPUT!AC78</f>
        <v>1587.5</v>
      </c>
      <c r="C1577" s="174">
        <f>K892</f>
        <v>2800</v>
      </c>
      <c r="D1577" s="191">
        <f>D1292</f>
        <v>700</v>
      </c>
      <c r="E1577" s="174" t="str">
        <f>IF(OR(AND(B1577&lt;=3*C1577,D1577=0),AND(B1577&lt;=1.5*C1577,D1577&gt;0)),"stiffened","unstiffened")</f>
        <v>stiffened</v>
      </c>
      <c r="F1577" s="380"/>
      <c r="G1577" s="343">
        <f>K1292</f>
        <v>12</v>
      </c>
      <c r="H1577" s="174">
        <f>E1292*K1292</f>
        <v>2822.01832606489</v>
      </c>
      <c r="I1577" s="191">
        <f>0.58*INPUT!AQ78*1000*H1577*G1577/10^6</f>
        <v>6972.6428800411295</v>
      </c>
      <c r="J1577" s="192">
        <f>IF(E1577="stiffened",5+5/(B1577/C1577)^2,5)</f>
        <v>20.554591109182219</v>
      </c>
      <c r="K1577" s="191">
        <f>H1577/G1577</f>
        <v>235.16819383874085</v>
      </c>
      <c r="L1577" s="191">
        <f>SQRT(INPUT!$B$2*J1577/INPUT!AQ78)</f>
        <v>0</v>
      </c>
      <c r="M1577" s="184">
        <f>IF(K1577&lt;=1.12*L1577,1,IF(K1577&lt;=1.4*L1577,1.12/K1577*L1577,1.57*L1577^2/K1577^2))</f>
        <v>0</v>
      </c>
      <c r="N1577" s="286">
        <f>IF(E1577="stiffened",IF(2*C1577*G1577/(INPUT!H78*INPUT!I78*INPUT!J78+INPUT!K78*INPUT!L78)&lt;=2.5,I1577*(M1577+0.87*(1-M1577)/SQRT(1+(B1577/C1577)^2)),I1577*(M1577+0.87*(1-M1577)/(SQRT(1+(B1577/C1577)^2)+B1577/C1577))),M1577*I1577)</f>
        <v>5277.0541860455469</v>
      </c>
    </row>
    <row r="1578" ht="15" customHeight="1" s="4" customFormat="1">
      <c r="O1578" s="296"/>
      <c r="P1578" s="64"/>
      <c r="Z1578" s="209"/>
      <c r="AB1578" s="209"/>
      <c r="AC1578" s="321"/>
      <c r="AE1578" s="209"/>
    </row>
    <row r="1579" ht="15" customHeight="1" s="4" customFormat="1">
      <c r="A1579" s="59" t="s">
        <v>998</v>
      </c>
      <c r="O1579" s="296"/>
      <c r="P1579" s="64"/>
      <c r="Z1579" s="209"/>
      <c r="AB1579" s="209"/>
      <c r="AC1579" s="321"/>
      <c r="AE1579" s="209"/>
    </row>
    <row r="1580" ht="15" customHeight="1" s="4" customFormat="1">
      <c r="A1580" s="135" t="s">
        <v>230</v>
      </c>
      <c r="B1580" s="494" t="s">
        <v>999</v>
      </c>
      <c r="C1580" s="498"/>
      <c r="D1580" s="498"/>
      <c r="E1580" s="498"/>
      <c r="F1580" s="498"/>
      <c r="G1580" s="498"/>
      <c r="H1580" s="498"/>
      <c r="I1580" s="495"/>
      <c r="J1580" s="340" t="s">
        <v>1000</v>
      </c>
      <c r="K1580" s="340" t="s">
        <v>521</v>
      </c>
      <c r="L1580" s="340" t="s">
        <v>525</v>
      </c>
      <c r="M1580" s="73" t="s">
        <v>246</v>
      </c>
      <c r="N1580" s="74" t="s">
        <v>247</v>
      </c>
      <c r="O1580" s="296"/>
      <c r="P1580" s="370"/>
    </row>
    <row r="1581" ht="15" customHeight="1" s="4" customFormat="1">
      <c r="A1581" s="136"/>
      <c r="B1581" s="137" t="s">
        <v>385</v>
      </c>
      <c r="C1581" s="338" t="s">
        <v>386</v>
      </c>
      <c r="D1581" s="137" t="s">
        <v>387</v>
      </c>
      <c r="E1581" s="137" t="s">
        <v>926</v>
      </c>
      <c r="F1581" s="338" t="s">
        <v>927</v>
      </c>
      <c r="G1581" s="137" t="s">
        <v>929</v>
      </c>
      <c r="H1581" s="137" t="s">
        <v>928</v>
      </c>
      <c r="I1581" s="137" t="s">
        <v>519</v>
      </c>
      <c r="J1581" s="342"/>
      <c r="K1581" s="342"/>
      <c r="L1581" s="342"/>
      <c r="M1581" s="76"/>
      <c r="N1581" s="77"/>
      <c r="O1581" s="296"/>
      <c r="P1581" s="370"/>
    </row>
    <row r="1582" ht="15" customHeight="1">
      <c r="A1582" s="187">
        <f>A1502</f>
        <v>101</v>
      </c>
      <c r="B1582" s="191">
        <f>INPUT!BB3</f>
        <v>-683.35517469674232</v>
      </c>
      <c r="C1582" s="191">
        <f>INPUT!BC3</f>
        <v>-0.91059939832501868</v>
      </c>
      <c r="D1582" s="191">
        <f>INPUT!BD3</f>
        <v>-1194.0301894616569</v>
      </c>
      <c r="E1582" s="184">
        <f>INPUT!CJ3</f>
        <v>-436.06870446189714</v>
      </c>
      <c r="F1582" s="184">
        <f>INPUT!CK3</f>
        <v>-314.94994178543857</v>
      </c>
      <c r="G1582" s="191">
        <f>INPUT!CM3</f>
        <v>-1081.62480290104</v>
      </c>
      <c r="H1582" s="191">
        <f>INPUT!CL3</f>
        <v>60.30276774327028</v>
      </c>
      <c r="I1582" s="191">
        <f>(1.25*(B1582+C1582+D1582+E1582)+1.5*F1582+1.8*IF(1.25*(B1582+C1582+D1582+E1582)+1.5*F1582&gt;=0,H1582,G1582))/2</f>
        <v>-2656.1526964616532</v>
      </c>
      <c r="J1582" s="192">
        <f>I1217*180/PI()</f>
        <v>7.16197243913529</v>
      </c>
      <c r="K1582" s="191">
        <f>I1582/COS(J1582*PI()/180)</f>
        <v>-2677.0398522290925</v>
      </c>
      <c r="L1582" s="191">
        <f>N1502</f>
        <v>5277.0541860455469</v>
      </c>
      <c r="M1582" s="201" t="str">
        <f>IF(ABS(K1582)&lt;=L1582,"OK","NG")</f>
        <v>OK</v>
      </c>
      <c r="N1582" s="203">
        <f>L1582/ABS(K1582)</f>
        <v>1.9712273545914898</v>
      </c>
      <c r="O1582" s="296"/>
    </row>
    <row r="1583">
      <c r="A1583" s="187">
        <f>A1503</f>
        <v>101</v>
      </c>
      <c r="B1583" s="191">
        <f>INPUT!BB4</f>
        <v>-683.35517469674232</v>
      </c>
      <c r="C1583" s="191">
        <f>INPUT!BC4</f>
        <v>-0.91059939832501868</v>
      </c>
      <c r="D1583" s="191">
        <f>INPUT!BD4</f>
        <v>-1194.0301894616569</v>
      </c>
      <c r="E1583" s="184">
        <f>INPUT!CJ4</f>
        <v>-436.06870446189714</v>
      </c>
      <c r="F1583" s="184">
        <f>INPUT!CK4</f>
        <v>-314.94994178543857</v>
      </c>
      <c r="G1583" s="191">
        <f>INPUT!CM4</f>
        <v>-1081.62480290104</v>
      </c>
      <c r="H1583" s="191">
        <f>INPUT!CL4</f>
        <v>60.30276774327028</v>
      </c>
      <c r="I1583" s="191">
        <f>(1.25*(B1583+C1583+D1583+E1583)+1.5*F1583+1.8*IF(1.25*(B1583+C1583+D1583+E1583)+1.5*F1583&gt;=0,H1583,G1583))/2</f>
        <v>-2656.1526964616532</v>
      </c>
      <c r="J1583" s="192">
        <f>I1218*180/PI()</f>
        <v>7.16197243913529</v>
      </c>
      <c r="K1583" s="191">
        <f>I1583/COS(J1583*PI()/180)</f>
        <v>-2677.0398522290925</v>
      </c>
      <c r="L1583" s="191">
        <f>N1503</f>
        <v>5277.0541860455469</v>
      </c>
      <c r="M1583" s="201" t="str">
        <f>IF(ABS(K1583)&lt;=L1583,"OK","NG")</f>
        <v>OK</v>
      </c>
      <c r="N1583" s="203">
        <f>L1583/ABS(K1583)</f>
        <v>1.9712273545914898</v>
      </c>
      <c r="O1583" s="296"/>
    </row>
    <row r="1584">
      <c r="A1584" s="187">
        <f>A1504</f>
        <v>101</v>
      </c>
      <c r="B1584" s="191">
        <f>INPUT!BB5</f>
        <v>-683.35517469674232</v>
      </c>
      <c r="C1584" s="191">
        <f>INPUT!BC5</f>
        <v>-0.91059939832501868</v>
      </c>
      <c r="D1584" s="191">
        <f>INPUT!BD5</f>
        <v>-1194.0301894616569</v>
      </c>
      <c r="E1584" s="184">
        <f>INPUT!CJ5</f>
        <v>-436.06870446189714</v>
      </c>
      <c r="F1584" s="184">
        <f>INPUT!CK5</f>
        <v>-314.94994178543857</v>
      </c>
      <c r="G1584" s="191">
        <f>INPUT!CM5</f>
        <v>-1081.62480290104</v>
      </c>
      <c r="H1584" s="191">
        <f>INPUT!CL5</f>
        <v>60.30276774327028</v>
      </c>
      <c r="I1584" s="191">
        <f>(1.25*(B1584+C1584+D1584+E1584)+1.5*F1584+1.8*IF(1.25*(B1584+C1584+D1584+E1584)+1.5*F1584&gt;=0,H1584,G1584))/2</f>
        <v>-2656.1526964616532</v>
      </c>
      <c r="J1584" s="192">
        <f>I1219*180/PI()</f>
        <v>7.16197243913529</v>
      </c>
      <c r="K1584" s="191">
        <f>I1584/COS(J1584*PI()/180)</f>
        <v>-2677.0398522290925</v>
      </c>
      <c r="L1584" s="191">
        <f>N1504</f>
        <v>5277.0541860455469</v>
      </c>
      <c r="M1584" s="201" t="str">
        <f>IF(ABS(K1584)&lt;=L1584,"OK","NG")</f>
        <v>OK</v>
      </c>
      <c r="N1584" s="203">
        <f>L1584/ABS(K1584)</f>
        <v>1.9712273545914898</v>
      </c>
      <c r="O1584" s="296"/>
    </row>
    <row r="1585">
      <c r="A1585" s="187">
        <f>A1505</f>
        <v>101</v>
      </c>
      <c r="B1585" s="191">
        <f>INPUT!BB6</f>
        <v>-683.35517469674232</v>
      </c>
      <c r="C1585" s="191">
        <f>INPUT!BC6</f>
        <v>-0.91059939832501868</v>
      </c>
      <c r="D1585" s="191">
        <f>INPUT!BD6</f>
        <v>-1194.0301894616569</v>
      </c>
      <c r="E1585" s="184">
        <f>INPUT!CJ6</f>
        <v>-436.06870446189714</v>
      </c>
      <c r="F1585" s="184">
        <f>INPUT!CK6</f>
        <v>-314.94994178543857</v>
      </c>
      <c r="G1585" s="191">
        <f>INPUT!CM6</f>
        <v>-1081.62480290104</v>
      </c>
      <c r="H1585" s="191">
        <f>INPUT!CL6</f>
        <v>60.30276774327028</v>
      </c>
      <c r="I1585" s="191">
        <f>(1.25*(B1585+C1585+D1585+E1585)+1.5*F1585+1.8*IF(1.25*(B1585+C1585+D1585+E1585)+1.5*F1585&gt;=0,H1585,G1585))/2</f>
        <v>-2656.1526964616532</v>
      </c>
      <c r="J1585" s="192">
        <f>I1220*180/PI()</f>
        <v>7.16197243913529</v>
      </c>
      <c r="K1585" s="191">
        <f>I1585/COS(J1585*PI()/180)</f>
        <v>-2677.0398522290925</v>
      </c>
      <c r="L1585" s="191">
        <f>N1505</f>
        <v>5277.0541860455469</v>
      </c>
      <c r="M1585" s="201" t="str">
        <f>IF(ABS(K1585)&lt;=L1585,"OK","NG")</f>
        <v>OK</v>
      </c>
      <c r="N1585" s="203">
        <f>L1585/ABS(K1585)</f>
        <v>1.9712273545914898</v>
      </c>
      <c r="O1585" s="296"/>
    </row>
    <row r="1586">
      <c r="A1586" s="187">
        <f>A1506</f>
        <v>101</v>
      </c>
      <c r="B1586" s="191">
        <f>INPUT!BB7</f>
        <v>-683.35517469674232</v>
      </c>
      <c r="C1586" s="191">
        <f>INPUT!BC7</f>
        <v>-0.91059939832501868</v>
      </c>
      <c r="D1586" s="191">
        <f>INPUT!BD7</f>
        <v>-1194.0301894616569</v>
      </c>
      <c r="E1586" s="184">
        <f>INPUT!CJ7</f>
        <v>-436.06870446189714</v>
      </c>
      <c r="F1586" s="184">
        <f>INPUT!CK7</f>
        <v>-314.94994178543857</v>
      </c>
      <c r="G1586" s="191">
        <f>INPUT!CM7</f>
        <v>-1081.62480290104</v>
      </c>
      <c r="H1586" s="191">
        <f>INPUT!CL7</f>
        <v>60.30276774327028</v>
      </c>
      <c r="I1586" s="191">
        <f>(1.25*(B1586+C1586+D1586+E1586)+1.5*F1586+1.8*IF(1.25*(B1586+C1586+D1586+E1586)+1.5*F1586&gt;=0,H1586,G1586))/2</f>
        <v>-2656.1526964616532</v>
      </c>
      <c r="J1586" s="192">
        <f>I1221*180/PI()</f>
        <v>7.16197243913529</v>
      </c>
      <c r="K1586" s="191">
        <f>I1586/COS(J1586*PI()/180)</f>
        <v>-2677.0398522290925</v>
      </c>
      <c r="L1586" s="191">
        <f>N1506</f>
        <v>5277.0541860455469</v>
      </c>
      <c r="M1586" s="201" t="str">
        <f>IF(ABS(K1586)&lt;=L1586,"OK","NG")</f>
        <v>OK</v>
      </c>
      <c r="N1586" s="203">
        <f>L1586/ABS(K1586)</f>
        <v>1.9712273545914898</v>
      </c>
      <c r="O1586" s="296"/>
    </row>
    <row r="1587">
      <c r="A1587" s="187">
        <f>A1507</f>
        <v>101</v>
      </c>
      <c r="B1587" s="191">
        <f>INPUT!BB8</f>
        <v>-683.35517469674232</v>
      </c>
      <c r="C1587" s="191">
        <f>INPUT!BC8</f>
        <v>-0.91059939832501868</v>
      </c>
      <c r="D1587" s="191">
        <f>INPUT!BD8</f>
        <v>-1194.0301894616569</v>
      </c>
      <c r="E1587" s="184">
        <f>INPUT!CJ8</f>
        <v>-436.06870446189714</v>
      </c>
      <c r="F1587" s="184">
        <f>INPUT!CK8</f>
        <v>-314.94994178543857</v>
      </c>
      <c r="G1587" s="191">
        <f>INPUT!CM8</f>
        <v>-1081.62480290104</v>
      </c>
      <c r="H1587" s="191">
        <f>INPUT!CL8</f>
        <v>60.30276774327028</v>
      </c>
      <c r="I1587" s="191">
        <f>(1.25*(B1587+C1587+D1587+E1587)+1.5*F1587+1.8*IF(1.25*(B1587+C1587+D1587+E1587)+1.5*F1587&gt;=0,H1587,G1587))/2</f>
        <v>-2656.1526964616532</v>
      </c>
      <c r="J1587" s="192">
        <f>I1222*180/PI()</f>
        <v>7.16197243913529</v>
      </c>
      <c r="K1587" s="191">
        <f>I1587/COS(J1587*PI()/180)</f>
        <v>-2677.0398522290925</v>
      </c>
      <c r="L1587" s="191">
        <f>N1507</f>
        <v>5277.0541860455469</v>
      </c>
      <c r="M1587" s="201" t="str">
        <f>IF(ABS(K1587)&lt;=L1587,"OK","NG")</f>
        <v>OK</v>
      </c>
      <c r="N1587" s="203">
        <f>L1587/ABS(K1587)</f>
        <v>1.9712273545914898</v>
      </c>
      <c r="O1587" s="296"/>
    </row>
    <row r="1588">
      <c r="A1588" s="187">
        <f>A1508</f>
        <v>101</v>
      </c>
      <c r="B1588" s="191">
        <f>INPUT!BB9</f>
        <v>-683.35517469674232</v>
      </c>
      <c r="C1588" s="191">
        <f>INPUT!BC9</f>
        <v>-0.91059939832501868</v>
      </c>
      <c r="D1588" s="191">
        <f>INPUT!BD9</f>
        <v>-1194.0301894616569</v>
      </c>
      <c r="E1588" s="184">
        <f>INPUT!CJ9</f>
        <v>-436.06870446189714</v>
      </c>
      <c r="F1588" s="184">
        <f>INPUT!CK9</f>
        <v>-314.94994178543857</v>
      </c>
      <c r="G1588" s="191">
        <f>INPUT!CM9</f>
        <v>-1081.62480290104</v>
      </c>
      <c r="H1588" s="191">
        <f>INPUT!CL9</f>
        <v>60.30276774327028</v>
      </c>
      <c r="I1588" s="191">
        <f>(1.25*(B1588+C1588+D1588+E1588)+1.5*F1588+1.8*IF(1.25*(B1588+C1588+D1588+E1588)+1.5*F1588&gt;=0,H1588,G1588))/2</f>
        <v>-2656.1526964616532</v>
      </c>
      <c r="J1588" s="192">
        <f>I1223*180/PI()</f>
        <v>7.16197243913529</v>
      </c>
      <c r="K1588" s="191">
        <f>I1588/COS(J1588*PI()/180)</f>
        <v>-2677.0398522290925</v>
      </c>
      <c r="L1588" s="191">
        <f>N1508</f>
        <v>5277.0541860455469</v>
      </c>
      <c r="M1588" s="201" t="str">
        <f>IF(ABS(K1588)&lt;=L1588,"OK","NG")</f>
        <v>OK</v>
      </c>
      <c r="N1588" s="203">
        <f>L1588/ABS(K1588)</f>
        <v>1.9712273545914898</v>
      </c>
      <c r="O1588" s="296"/>
    </row>
    <row r="1589">
      <c r="A1589" s="187">
        <f>A1509</f>
        <v>101</v>
      </c>
      <c r="B1589" s="191">
        <f>INPUT!BB10</f>
        <v>-683.35517469674232</v>
      </c>
      <c r="C1589" s="191">
        <f>INPUT!BC10</f>
        <v>-0.91059939832501868</v>
      </c>
      <c r="D1589" s="191">
        <f>INPUT!BD10</f>
        <v>-1194.0301894616569</v>
      </c>
      <c r="E1589" s="184">
        <f>INPUT!CJ10</f>
        <v>-436.06870446189714</v>
      </c>
      <c r="F1589" s="184">
        <f>INPUT!CK10</f>
        <v>-314.94994178543857</v>
      </c>
      <c r="G1589" s="191">
        <f>INPUT!CM10</f>
        <v>-1081.62480290104</v>
      </c>
      <c r="H1589" s="191">
        <f>INPUT!CL10</f>
        <v>60.30276774327028</v>
      </c>
      <c r="I1589" s="191">
        <f>(1.25*(B1589+C1589+D1589+E1589)+1.5*F1589+1.8*IF(1.25*(B1589+C1589+D1589+E1589)+1.5*F1589&gt;=0,H1589,G1589))/2</f>
        <v>-2656.1526964616532</v>
      </c>
      <c r="J1589" s="192">
        <f>I1224*180/PI()</f>
        <v>7.16197243913529</v>
      </c>
      <c r="K1589" s="191">
        <f>I1589/COS(J1589*PI()/180)</f>
        <v>-2677.0398522290925</v>
      </c>
      <c r="L1589" s="191">
        <f>N1509</f>
        <v>5277.0541860455469</v>
      </c>
      <c r="M1589" s="201" t="str">
        <f>IF(ABS(K1589)&lt;=L1589,"OK","NG")</f>
        <v>OK</v>
      </c>
      <c r="N1589" s="203">
        <f>L1589/ABS(K1589)</f>
        <v>1.9712273545914898</v>
      </c>
      <c r="O1589" s="296"/>
    </row>
    <row r="1590">
      <c r="A1590" s="187">
        <f>A1510</f>
        <v>101</v>
      </c>
      <c r="B1590" s="191">
        <f>INPUT!BB11</f>
        <v>-683.35517469674232</v>
      </c>
      <c r="C1590" s="191">
        <f>INPUT!BC11</f>
        <v>-0.91059939832501868</v>
      </c>
      <c r="D1590" s="191">
        <f>INPUT!BD11</f>
        <v>-1194.0301894616569</v>
      </c>
      <c r="E1590" s="184">
        <f>INPUT!CJ11</f>
        <v>-436.06870446189714</v>
      </c>
      <c r="F1590" s="184">
        <f>INPUT!CK11</f>
        <v>-314.94994178543857</v>
      </c>
      <c r="G1590" s="191">
        <f>INPUT!CM11</f>
        <v>-1081.62480290104</v>
      </c>
      <c r="H1590" s="191">
        <f>INPUT!CL11</f>
        <v>60.30276774327028</v>
      </c>
      <c r="I1590" s="191">
        <f>(1.25*(B1590+C1590+D1590+E1590)+1.5*F1590+1.8*IF(1.25*(B1590+C1590+D1590+E1590)+1.5*F1590&gt;=0,H1590,G1590))/2</f>
        <v>-2656.1526964616532</v>
      </c>
      <c r="J1590" s="192">
        <f>I1225*180/PI()</f>
        <v>7.16197243913529</v>
      </c>
      <c r="K1590" s="191">
        <f>I1590/COS(J1590*PI()/180)</f>
        <v>-2677.0398522290925</v>
      </c>
      <c r="L1590" s="191">
        <f>N1510</f>
        <v>5277.0541860455469</v>
      </c>
      <c r="M1590" s="201" t="str">
        <f>IF(ABS(K1590)&lt;=L1590,"OK","NG")</f>
        <v>OK</v>
      </c>
      <c r="N1590" s="203">
        <f>L1590/ABS(K1590)</f>
        <v>1.9712273545914898</v>
      </c>
      <c r="O1590" s="296"/>
    </row>
    <row r="1591">
      <c r="A1591" s="187">
        <f>A1511</f>
        <v>101</v>
      </c>
      <c r="B1591" s="191">
        <f>INPUT!BB12</f>
        <v>-683.35517469674232</v>
      </c>
      <c r="C1591" s="191">
        <f>INPUT!BC12</f>
        <v>-0.91059939832501868</v>
      </c>
      <c r="D1591" s="191">
        <f>INPUT!BD12</f>
        <v>-1194.0301894616569</v>
      </c>
      <c r="E1591" s="184">
        <f>INPUT!CJ12</f>
        <v>-436.06870446189714</v>
      </c>
      <c r="F1591" s="184">
        <f>INPUT!CK12</f>
        <v>-314.94994178543857</v>
      </c>
      <c r="G1591" s="191">
        <f>INPUT!CM12</f>
        <v>-1081.62480290104</v>
      </c>
      <c r="H1591" s="191">
        <f>INPUT!CL12</f>
        <v>60.30276774327028</v>
      </c>
      <c r="I1591" s="191">
        <f>(1.25*(B1591+C1591+D1591+E1591)+1.5*F1591+1.8*IF(1.25*(B1591+C1591+D1591+E1591)+1.5*F1591&gt;=0,H1591,G1591))/2</f>
        <v>-2656.1526964616532</v>
      </c>
      <c r="J1591" s="192">
        <f>I1226*180/PI()</f>
        <v>7.16197243913529</v>
      </c>
      <c r="K1591" s="191">
        <f>I1591/COS(J1591*PI()/180)</f>
        <v>-2677.0398522290925</v>
      </c>
      <c r="L1591" s="191">
        <f>N1511</f>
        <v>5277.0541860455469</v>
      </c>
      <c r="M1591" s="201" t="str">
        <f>IF(ABS(K1591)&lt;=L1591,"OK","NG")</f>
        <v>OK</v>
      </c>
      <c r="N1591" s="203">
        <f>L1591/ABS(K1591)</f>
        <v>1.9712273545914898</v>
      </c>
      <c r="O1591" s="296"/>
    </row>
    <row r="1592">
      <c r="A1592" s="187">
        <f>A1512</f>
        <v>101</v>
      </c>
      <c r="B1592" s="191">
        <f>INPUT!BB13</f>
        <v>-683.35517469674232</v>
      </c>
      <c r="C1592" s="191">
        <f>INPUT!BC13</f>
        <v>-0.91059939832501868</v>
      </c>
      <c r="D1592" s="191">
        <f>INPUT!BD13</f>
        <v>-1194.0301894616569</v>
      </c>
      <c r="E1592" s="184">
        <f>INPUT!CJ13</f>
        <v>-436.06870446189714</v>
      </c>
      <c r="F1592" s="184">
        <f>INPUT!CK13</f>
        <v>-314.94994178543857</v>
      </c>
      <c r="G1592" s="191">
        <f>INPUT!CM13</f>
        <v>-1081.62480290104</v>
      </c>
      <c r="H1592" s="191">
        <f>INPUT!CL13</f>
        <v>60.30276774327028</v>
      </c>
      <c r="I1592" s="191">
        <f>(1.25*(B1592+C1592+D1592+E1592)+1.5*F1592+1.8*IF(1.25*(B1592+C1592+D1592+E1592)+1.5*F1592&gt;=0,H1592,G1592))/2</f>
        <v>-2656.1526964616532</v>
      </c>
      <c r="J1592" s="192">
        <f>I1227*180/PI()</f>
        <v>7.16197243913529</v>
      </c>
      <c r="K1592" s="191">
        <f>I1592/COS(J1592*PI()/180)</f>
        <v>-2677.0398522290925</v>
      </c>
      <c r="L1592" s="191">
        <f>N1512</f>
        <v>5277.0541860455469</v>
      </c>
      <c r="M1592" s="201" t="str">
        <f>IF(ABS(K1592)&lt;=L1592,"OK","NG")</f>
        <v>OK</v>
      </c>
      <c r="N1592" s="203">
        <f>L1592/ABS(K1592)</f>
        <v>1.9712273545914898</v>
      </c>
      <c r="O1592" s="296"/>
    </row>
    <row r="1593">
      <c r="A1593" s="187">
        <f>A1513</f>
        <v>101</v>
      </c>
      <c r="B1593" s="191">
        <f>INPUT!BB14</f>
        <v>-683.35517469674232</v>
      </c>
      <c r="C1593" s="191">
        <f>INPUT!BC14</f>
        <v>-0.91059939832501868</v>
      </c>
      <c r="D1593" s="191">
        <f>INPUT!BD14</f>
        <v>-1194.0301894616569</v>
      </c>
      <c r="E1593" s="184">
        <f>INPUT!CJ14</f>
        <v>-436.06870446189714</v>
      </c>
      <c r="F1593" s="184">
        <f>INPUT!CK14</f>
        <v>-314.94994178543857</v>
      </c>
      <c r="G1593" s="191">
        <f>INPUT!CM14</f>
        <v>-1081.62480290104</v>
      </c>
      <c r="H1593" s="191">
        <f>INPUT!CL14</f>
        <v>60.30276774327028</v>
      </c>
      <c r="I1593" s="191">
        <f>(1.25*(B1593+C1593+D1593+E1593)+1.5*F1593+1.8*IF(1.25*(B1593+C1593+D1593+E1593)+1.5*F1593&gt;=0,H1593,G1593))/2</f>
        <v>-2656.1526964616532</v>
      </c>
      <c r="J1593" s="192">
        <f>I1228*180/PI()</f>
        <v>7.16197243913529</v>
      </c>
      <c r="K1593" s="191">
        <f>I1593/COS(J1593*PI()/180)</f>
        <v>-2677.0398522290925</v>
      </c>
      <c r="L1593" s="191">
        <f>N1513</f>
        <v>5277.0541860455469</v>
      </c>
      <c r="M1593" s="201" t="str">
        <f>IF(ABS(K1593)&lt;=L1593,"OK","NG")</f>
        <v>OK</v>
      </c>
      <c r="N1593" s="203">
        <f>L1593/ABS(K1593)</f>
        <v>1.9712273545914898</v>
      </c>
      <c r="O1593" s="296"/>
    </row>
    <row r="1594">
      <c r="A1594" s="187">
        <f>A1514</f>
        <v>101</v>
      </c>
      <c r="B1594" s="191">
        <f>INPUT!BB15</f>
        <v>-683.35517469674232</v>
      </c>
      <c r="C1594" s="191">
        <f>INPUT!BC15</f>
        <v>-0.91059939832501868</v>
      </c>
      <c r="D1594" s="191">
        <f>INPUT!BD15</f>
        <v>-1194.0301894616569</v>
      </c>
      <c r="E1594" s="184">
        <f>INPUT!CJ15</f>
        <v>-436.06870446189714</v>
      </c>
      <c r="F1594" s="184">
        <f>INPUT!CK15</f>
        <v>-314.94994178543857</v>
      </c>
      <c r="G1594" s="191">
        <f>INPUT!CM15</f>
        <v>-1081.62480290104</v>
      </c>
      <c r="H1594" s="191">
        <f>INPUT!CL15</f>
        <v>60.30276774327028</v>
      </c>
      <c r="I1594" s="191">
        <f>(1.25*(B1594+C1594+D1594+E1594)+1.5*F1594+1.8*IF(1.25*(B1594+C1594+D1594+E1594)+1.5*F1594&gt;=0,H1594,G1594))/2</f>
        <v>-2656.1526964616532</v>
      </c>
      <c r="J1594" s="192">
        <f>I1229*180/PI()</f>
        <v>7.16197243913529</v>
      </c>
      <c r="K1594" s="191">
        <f>I1594/COS(J1594*PI()/180)</f>
        <v>-2677.0398522290925</v>
      </c>
      <c r="L1594" s="191">
        <f>N1514</f>
        <v>5277.0541860455469</v>
      </c>
      <c r="M1594" s="201" t="str">
        <f>IF(ABS(K1594)&lt;=L1594,"OK","NG")</f>
        <v>OK</v>
      </c>
      <c r="N1594" s="203">
        <f>L1594/ABS(K1594)</f>
        <v>1.9712273545914898</v>
      </c>
      <c r="O1594" s="296"/>
    </row>
    <row r="1595">
      <c r="A1595" s="187">
        <f>A1515</f>
        <v>101</v>
      </c>
      <c r="B1595" s="191">
        <f>INPUT!BB16</f>
        <v>-683.35517469674232</v>
      </c>
      <c r="C1595" s="191">
        <f>INPUT!BC16</f>
        <v>-0.91059939832501868</v>
      </c>
      <c r="D1595" s="191">
        <f>INPUT!BD16</f>
        <v>-1194.0301894616569</v>
      </c>
      <c r="E1595" s="184">
        <f>INPUT!CJ16</f>
        <v>-436.06870446189714</v>
      </c>
      <c r="F1595" s="184">
        <f>INPUT!CK16</f>
        <v>-314.94994178543857</v>
      </c>
      <c r="G1595" s="191">
        <f>INPUT!CM16</f>
        <v>-1081.62480290104</v>
      </c>
      <c r="H1595" s="191">
        <f>INPUT!CL16</f>
        <v>60.30276774327028</v>
      </c>
      <c r="I1595" s="191">
        <f>(1.25*(B1595+C1595+D1595+E1595)+1.5*F1595+1.8*IF(1.25*(B1595+C1595+D1595+E1595)+1.5*F1595&gt;=0,H1595,G1595))/2</f>
        <v>-2656.1526964616532</v>
      </c>
      <c r="J1595" s="192">
        <f>I1230*180/PI()</f>
        <v>7.16197243913529</v>
      </c>
      <c r="K1595" s="191">
        <f>I1595/COS(J1595*PI()/180)</f>
        <v>-2677.0398522290925</v>
      </c>
      <c r="L1595" s="191">
        <f>N1515</f>
        <v>5277.0541860455469</v>
      </c>
      <c r="M1595" s="201" t="str">
        <f>IF(ABS(K1595)&lt;=L1595,"OK","NG")</f>
        <v>OK</v>
      </c>
      <c r="N1595" s="203">
        <f>L1595/ABS(K1595)</f>
        <v>1.9712273545914898</v>
      </c>
      <c r="O1595" s="296"/>
    </row>
    <row r="1596">
      <c r="A1596" s="187">
        <f>A1516</f>
        <v>101</v>
      </c>
      <c r="B1596" s="191">
        <f>INPUT!BB17</f>
        <v>-683.35517469674232</v>
      </c>
      <c r="C1596" s="191">
        <f>INPUT!BC17</f>
        <v>-0.91059939832501868</v>
      </c>
      <c r="D1596" s="191">
        <f>INPUT!BD17</f>
        <v>-1194.0301894616569</v>
      </c>
      <c r="E1596" s="184">
        <f>INPUT!CJ17</f>
        <v>-436.06870446189714</v>
      </c>
      <c r="F1596" s="184">
        <f>INPUT!CK17</f>
        <v>-314.94994178543857</v>
      </c>
      <c r="G1596" s="191">
        <f>INPUT!CM17</f>
        <v>-1081.62480290104</v>
      </c>
      <c r="H1596" s="191">
        <f>INPUT!CL17</f>
        <v>60.30276774327028</v>
      </c>
      <c r="I1596" s="191">
        <f>(1.25*(B1596+C1596+D1596+E1596)+1.5*F1596+1.8*IF(1.25*(B1596+C1596+D1596+E1596)+1.5*F1596&gt;=0,H1596,G1596))/2</f>
        <v>-2656.1526964616532</v>
      </c>
      <c r="J1596" s="192">
        <f>I1231*180/PI()</f>
        <v>7.16197243913529</v>
      </c>
      <c r="K1596" s="191">
        <f>I1596/COS(J1596*PI()/180)</f>
        <v>-2677.0398522290925</v>
      </c>
      <c r="L1596" s="191">
        <f>N1516</f>
        <v>5277.0541860455469</v>
      </c>
      <c r="M1596" s="201" t="str">
        <f>IF(ABS(K1596)&lt;=L1596,"OK","NG")</f>
        <v>OK</v>
      </c>
      <c r="N1596" s="203">
        <f>L1596/ABS(K1596)</f>
        <v>1.9712273545914898</v>
      </c>
      <c r="O1596" s="296"/>
    </row>
    <row r="1597">
      <c r="A1597" s="187">
        <f>A1517</f>
        <v>101</v>
      </c>
      <c r="B1597" s="191">
        <f>INPUT!BB18</f>
        <v>-683.35517469674232</v>
      </c>
      <c r="C1597" s="191">
        <f>INPUT!BC18</f>
        <v>-0.91059939832501868</v>
      </c>
      <c r="D1597" s="191">
        <f>INPUT!BD18</f>
        <v>-1194.0301894616569</v>
      </c>
      <c r="E1597" s="184">
        <f>INPUT!CJ18</f>
        <v>-436.06870446189714</v>
      </c>
      <c r="F1597" s="184">
        <f>INPUT!CK18</f>
        <v>-314.94994178543857</v>
      </c>
      <c r="G1597" s="191">
        <f>INPUT!CM18</f>
        <v>-1081.62480290104</v>
      </c>
      <c r="H1597" s="191">
        <f>INPUT!CL18</f>
        <v>60.30276774327028</v>
      </c>
      <c r="I1597" s="191">
        <f>(1.25*(B1597+C1597+D1597+E1597)+1.5*F1597+1.8*IF(1.25*(B1597+C1597+D1597+E1597)+1.5*F1597&gt;=0,H1597,G1597))/2</f>
        <v>-2656.1526964616532</v>
      </c>
      <c r="J1597" s="192">
        <f>I1232*180/PI()</f>
        <v>7.16197243913529</v>
      </c>
      <c r="K1597" s="191">
        <f>I1597/COS(J1597*PI()/180)</f>
        <v>-2677.0398522290925</v>
      </c>
      <c r="L1597" s="191">
        <f>N1517</f>
        <v>5277.0541860455469</v>
      </c>
      <c r="M1597" s="201" t="str">
        <f>IF(ABS(K1597)&lt;=L1597,"OK","NG")</f>
        <v>OK</v>
      </c>
      <c r="N1597" s="203">
        <f>L1597/ABS(K1597)</f>
        <v>1.9712273545914898</v>
      </c>
      <c r="O1597" s="296"/>
    </row>
    <row r="1598">
      <c r="A1598" s="187">
        <f>A1518</f>
        <v>101</v>
      </c>
      <c r="B1598" s="191">
        <f>INPUT!BB19</f>
        <v>-683.35517469674232</v>
      </c>
      <c r="C1598" s="191">
        <f>INPUT!BC19</f>
        <v>-0.91059939832501868</v>
      </c>
      <c r="D1598" s="191">
        <f>INPUT!BD19</f>
        <v>-1194.0301894616569</v>
      </c>
      <c r="E1598" s="184">
        <f>INPUT!CJ19</f>
        <v>-436.06870446189714</v>
      </c>
      <c r="F1598" s="184">
        <f>INPUT!CK19</f>
        <v>-314.94994178543857</v>
      </c>
      <c r="G1598" s="191">
        <f>INPUT!CM19</f>
        <v>-1081.62480290104</v>
      </c>
      <c r="H1598" s="191">
        <f>INPUT!CL19</f>
        <v>60.30276774327028</v>
      </c>
      <c r="I1598" s="191">
        <f>(1.25*(B1598+C1598+D1598+E1598)+1.5*F1598+1.8*IF(1.25*(B1598+C1598+D1598+E1598)+1.5*F1598&gt;=0,H1598,G1598))/2</f>
        <v>-2656.1526964616532</v>
      </c>
      <c r="J1598" s="192">
        <f>I1233*180/PI()</f>
        <v>7.16197243913529</v>
      </c>
      <c r="K1598" s="191">
        <f>I1598/COS(J1598*PI()/180)</f>
        <v>-2677.0398522290925</v>
      </c>
      <c r="L1598" s="191">
        <f>N1518</f>
        <v>5277.0541860455469</v>
      </c>
      <c r="M1598" s="201" t="str">
        <f>IF(ABS(K1598)&lt;=L1598,"OK","NG")</f>
        <v>OK</v>
      </c>
      <c r="N1598" s="203">
        <f>L1598/ABS(K1598)</f>
        <v>1.9712273545914898</v>
      </c>
      <c r="O1598" s="296"/>
    </row>
    <row r="1599">
      <c r="A1599" s="187">
        <f>A1519</f>
        <v>101</v>
      </c>
      <c r="B1599" s="191">
        <f>INPUT!BB20</f>
        <v>-683.35517469674232</v>
      </c>
      <c r="C1599" s="191">
        <f>INPUT!BC20</f>
        <v>-0.91059939832501868</v>
      </c>
      <c r="D1599" s="191">
        <f>INPUT!BD20</f>
        <v>-1194.0301894616569</v>
      </c>
      <c r="E1599" s="184">
        <f>INPUT!CJ20</f>
        <v>-436.06870446189714</v>
      </c>
      <c r="F1599" s="184">
        <f>INPUT!CK20</f>
        <v>-314.94994178543857</v>
      </c>
      <c r="G1599" s="191">
        <f>INPUT!CM20</f>
        <v>-1081.62480290104</v>
      </c>
      <c r="H1599" s="191">
        <f>INPUT!CL20</f>
        <v>60.30276774327028</v>
      </c>
      <c r="I1599" s="191">
        <f>(1.25*(B1599+C1599+D1599+E1599)+1.5*F1599+1.8*IF(1.25*(B1599+C1599+D1599+E1599)+1.5*F1599&gt;=0,H1599,G1599))/2</f>
        <v>-2656.1526964616532</v>
      </c>
      <c r="J1599" s="192">
        <f>I1234*180/PI()</f>
        <v>7.16197243913529</v>
      </c>
      <c r="K1599" s="191">
        <f>I1599/COS(J1599*PI()/180)</f>
        <v>-2677.0398522290925</v>
      </c>
      <c r="L1599" s="191">
        <f>N1519</f>
        <v>5277.0541860455469</v>
      </c>
      <c r="M1599" s="201" t="str">
        <f>IF(ABS(K1599)&lt;=L1599,"OK","NG")</f>
        <v>OK</v>
      </c>
      <c r="N1599" s="203">
        <f>L1599/ABS(K1599)</f>
        <v>1.9712273545914898</v>
      </c>
      <c r="O1599" s="296"/>
    </row>
    <row r="1600">
      <c r="A1600" s="187">
        <f>A1520</f>
        <v>101</v>
      </c>
      <c r="B1600" s="191">
        <f>INPUT!BB21</f>
        <v>-683.35517469674232</v>
      </c>
      <c r="C1600" s="191">
        <f>INPUT!BC21</f>
        <v>-0.91059939832501868</v>
      </c>
      <c r="D1600" s="191">
        <f>INPUT!BD21</f>
        <v>-1194.0301894616569</v>
      </c>
      <c r="E1600" s="184">
        <f>INPUT!CJ21</f>
        <v>-436.06870446189714</v>
      </c>
      <c r="F1600" s="184">
        <f>INPUT!CK21</f>
        <v>-314.94994178543857</v>
      </c>
      <c r="G1600" s="191">
        <f>INPUT!CM21</f>
        <v>-1081.62480290104</v>
      </c>
      <c r="H1600" s="191">
        <f>INPUT!CL21</f>
        <v>60.30276774327028</v>
      </c>
      <c r="I1600" s="191">
        <f>(1.25*(B1600+C1600+D1600+E1600)+1.5*F1600+1.8*IF(1.25*(B1600+C1600+D1600+E1600)+1.5*F1600&gt;=0,H1600,G1600))/2</f>
        <v>-2656.1526964616532</v>
      </c>
      <c r="J1600" s="192">
        <f>I1235*180/PI()</f>
        <v>7.16197243913529</v>
      </c>
      <c r="K1600" s="191">
        <f>I1600/COS(J1600*PI()/180)</f>
        <v>-2677.0398522290925</v>
      </c>
      <c r="L1600" s="191">
        <f>N1520</f>
        <v>5277.0541860455469</v>
      </c>
      <c r="M1600" s="201" t="str">
        <f>IF(ABS(K1600)&lt;=L1600,"OK","NG")</f>
        <v>OK</v>
      </c>
      <c r="N1600" s="203">
        <f>L1600/ABS(K1600)</f>
        <v>1.9712273545914898</v>
      </c>
      <c r="O1600" s="296"/>
    </row>
    <row r="1601">
      <c r="A1601" s="187">
        <f>A1521</f>
        <v>101</v>
      </c>
      <c r="B1601" s="191">
        <f>INPUT!BB22</f>
        <v>-683.35517469674232</v>
      </c>
      <c r="C1601" s="191">
        <f>INPUT!BC22</f>
        <v>-0.91059939832501868</v>
      </c>
      <c r="D1601" s="191">
        <f>INPUT!BD22</f>
        <v>-1194.0301894616569</v>
      </c>
      <c r="E1601" s="184">
        <f>INPUT!CJ22</f>
        <v>-436.06870446189714</v>
      </c>
      <c r="F1601" s="184">
        <f>INPUT!CK22</f>
        <v>-314.94994178543857</v>
      </c>
      <c r="G1601" s="191">
        <f>INPUT!CM22</f>
        <v>-1081.62480290104</v>
      </c>
      <c r="H1601" s="191">
        <f>INPUT!CL22</f>
        <v>60.30276774327028</v>
      </c>
      <c r="I1601" s="191">
        <f>(1.25*(B1601+C1601+D1601+E1601)+1.5*F1601+1.8*IF(1.25*(B1601+C1601+D1601+E1601)+1.5*F1601&gt;=0,H1601,G1601))/2</f>
        <v>-2656.1526964616532</v>
      </c>
      <c r="J1601" s="192">
        <f>I1236*180/PI()</f>
        <v>7.16197243913529</v>
      </c>
      <c r="K1601" s="191">
        <f>I1601/COS(J1601*PI()/180)</f>
        <v>-2677.0398522290925</v>
      </c>
      <c r="L1601" s="191">
        <f>N1521</f>
        <v>5277.0541860455469</v>
      </c>
      <c r="M1601" s="201" t="str">
        <f>IF(ABS(K1601)&lt;=L1601,"OK","NG")</f>
        <v>OK</v>
      </c>
      <c r="N1601" s="203">
        <f>L1601/ABS(K1601)</f>
        <v>1.9712273545914898</v>
      </c>
      <c r="O1601" s="296"/>
    </row>
    <row r="1602">
      <c r="A1602" s="187">
        <f>A1522</f>
        <v>101</v>
      </c>
      <c r="B1602" s="191">
        <f>INPUT!BB23</f>
        <v>-683.35517469674232</v>
      </c>
      <c r="C1602" s="191">
        <f>INPUT!BC23</f>
        <v>-0.91059939832501868</v>
      </c>
      <c r="D1602" s="191">
        <f>INPUT!BD23</f>
        <v>-1194.0301894616569</v>
      </c>
      <c r="E1602" s="184">
        <f>INPUT!CJ23</f>
        <v>-436.06870446189714</v>
      </c>
      <c r="F1602" s="184">
        <f>INPUT!CK23</f>
        <v>-314.94994178543857</v>
      </c>
      <c r="G1602" s="191">
        <f>INPUT!CM23</f>
        <v>-1081.62480290104</v>
      </c>
      <c r="H1602" s="191">
        <f>INPUT!CL23</f>
        <v>60.30276774327028</v>
      </c>
      <c r="I1602" s="191">
        <f>(1.25*(B1602+C1602+D1602+E1602)+1.5*F1602+1.8*IF(1.25*(B1602+C1602+D1602+E1602)+1.5*F1602&gt;=0,H1602,G1602))/2</f>
        <v>-2656.1526964616532</v>
      </c>
      <c r="J1602" s="192">
        <f>I1237*180/PI()</f>
        <v>7.16197243913529</v>
      </c>
      <c r="K1602" s="191">
        <f>I1602/COS(J1602*PI()/180)</f>
        <v>-2677.0398522290925</v>
      </c>
      <c r="L1602" s="191">
        <f>N1522</f>
        <v>5277.0541860455469</v>
      </c>
      <c r="M1602" s="201" t="str">
        <f>IF(ABS(K1602)&lt;=L1602,"OK","NG")</f>
        <v>OK</v>
      </c>
      <c r="N1602" s="203">
        <f>L1602/ABS(K1602)</f>
        <v>1.9712273545914898</v>
      </c>
      <c r="O1602" s="296"/>
    </row>
    <row r="1603">
      <c r="A1603" s="187">
        <f>A1523</f>
        <v>101</v>
      </c>
      <c r="B1603" s="191">
        <f>INPUT!BB24</f>
        <v>-683.35517469674232</v>
      </c>
      <c r="C1603" s="191">
        <f>INPUT!BC24</f>
        <v>-0.91059939832501868</v>
      </c>
      <c r="D1603" s="191">
        <f>INPUT!BD24</f>
        <v>-1194.0301894616569</v>
      </c>
      <c r="E1603" s="184">
        <f>INPUT!CJ24</f>
        <v>-436.06870446189714</v>
      </c>
      <c r="F1603" s="184">
        <f>INPUT!CK24</f>
        <v>-314.94994178543857</v>
      </c>
      <c r="G1603" s="191">
        <f>INPUT!CM24</f>
        <v>-1081.62480290104</v>
      </c>
      <c r="H1603" s="191">
        <f>INPUT!CL24</f>
        <v>60.30276774327028</v>
      </c>
      <c r="I1603" s="191">
        <f>(1.25*(B1603+C1603+D1603+E1603)+1.5*F1603+1.8*IF(1.25*(B1603+C1603+D1603+E1603)+1.5*F1603&gt;=0,H1603,G1603))/2</f>
        <v>-2656.1526964616532</v>
      </c>
      <c r="J1603" s="192">
        <f>I1238*180/PI()</f>
        <v>7.16197243913529</v>
      </c>
      <c r="K1603" s="191">
        <f>I1603/COS(J1603*PI()/180)</f>
        <v>-2677.0398522290925</v>
      </c>
      <c r="L1603" s="191">
        <f>N1523</f>
        <v>5277.0541860455469</v>
      </c>
      <c r="M1603" s="201" t="str">
        <f>IF(ABS(K1603)&lt;=L1603,"OK","NG")</f>
        <v>OK</v>
      </c>
      <c r="N1603" s="203">
        <f>L1603/ABS(K1603)</f>
        <v>1.9712273545914898</v>
      </c>
      <c r="O1603" s="296"/>
    </row>
    <row r="1604">
      <c r="A1604" s="187">
        <f>A1524</f>
        <v>101</v>
      </c>
      <c r="B1604" s="191">
        <f>INPUT!BB25</f>
        <v>-683.35517469674232</v>
      </c>
      <c r="C1604" s="191">
        <f>INPUT!BC25</f>
        <v>-0.91059939832501868</v>
      </c>
      <c r="D1604" s="191">
        <f>INPUT!BD25</f>
        <v>-1194.0301894616569</v>
      </c>
      <c r="E1604" s="184">
        <f>INPUT!CJ25</f>
        <v>-436.06870446189714</v>
      </c>
      <c r="F1604" s="184">
        <f>INPUT!CK25</f>
        <v>-314.94994178543857</v>
      </c>
      <c r="G1604" s="191">
        <f>INPUT!CM25</f>
        <v>-1081.62480290104</v>
      </c>
      <c r="H1604" s="191">
        <f>INPUT!CL25</f>
        <v>60.30276774327028</v>
      </c>
      <c r="I1604" s="191">
        <f>(1.25*(B1604+C1604+D1604+E1604)+1.5*F1604+1.8*IF(1.25*(B1604+C1604+D1604+E1604)+1.5*F1604&gt;=0,H1604,G1604))/2</f>
        <v>-2656.1526964616532</v>
      </c>
      <c r="J1604" s="192">
        <f>I1239*180/PI()</f>
        <v>7.16197243913529</v>
      </c>
      <c r="K1604" s="191">
        <f>I1604/COS(J1604*PI()/180)</f>
        <v>-2677.0398522290925</v>
      </c>
      <c r="L1604" s="191">
        <f>N1524</f>
        <v>5277.0541860455469</v>
      </c>
      <c r="M1604" s="201" t="str">
        <f>IF(ABS(K1604)&lt;=L1604,"OK","NG")</f>
        <v>OK</v>
      </c>
      <c r="N1604" s="203">
        <f>L1604/ABS(K1604)</f>
        <v>1.9712273545914898</v>
      </c>
      <c r="O1604" s="296"/>
    </row>
    <row r="1605">
      <c r="A1605" s="187">
        <f>A1525</f>
        <v>101</v>
      </c>
      <c r="B1605" s="191">
        <f>INPUT!BB26</f>
        <v>-683.35517469674232</v>
      </c>
      <c r="C1605" s="191">
        <f>INPUT!BC26</f>
        <v>-0.91059939832501868</v>
      </c>
      <c r="D1605" s="191">
        <f>INPUT!BD26</f>
        <v>-1194.0301894616569</v>
      </c>
      <c r="E1605" s="184">
        <f>INPUT!CJ26</f>
        <v>-436.06870446189714</v>
      </c>
      <c r="F1605" s="184">
        <f>INPUT!CK26</f>
        <v>-314.94994178543857</v>
      </c>
      <c r="G1605" s="191">
        <f>INPUT!CM26</f>
        <v>-1081.62480290104</v>
      </c>
      <c r="H1605" s="191">
        <f>INPUT!CL26</f>
        <v>60.30276774327028</v>
      </c>
      <c r="I1605" s="191">
        <f>(1.25*(B1605+C1605+D1605+E1605)+1.5*F1605+1.8*IF(1.25*(B1605+C1605+D1605+E1605)+1.5*F1605&gt;=0,H1605,G1605))/2</f>
        <v>-2656.1526964616532</v>
      </c>
      <c r="J1605" s="192">
        <f>I1240*180/PI()</f>
        <v>7.16197243913529</v>
      </c>
      <c r="K1605" s="191">
        <f>I1605/COS(J1605*PI()/180)</f>
        <v>-2677.0398522290925</v>
      </c>
      <c r="L1605" s="191">
        <f>N1525</f>
        <v>5277.0541860455469</v>
      </c>
      <c r="M1605" s="201" t="str">
        <f>IF(ABS(K1605)&lt;=L1605,"OK","NG")</f>
        <v>OK</v>
      </c>
      <c r="N1605" s="203">
        <f>L1605/ABS(K1605)</f>
        <v>1.9712273545914898</v>
      </c>
      <c r="O1605" s="296"/>
    </row>
    <row r="1606">
      <c r="A1606" s="187">
        <f>A1526</f>
        <v>101</v>
      </c>
      <c r="B1606" s="191">
        <f>INPUT!BB27</f>
        <v>-683.35517469674232</v>
      </c>
      <c r="C1606" s="191">
        <f>INPUT!BC27</f>
        <v>-0.91059939832501868</v>
      </c>
      <c r="D1606" s="191">
        <f>INPUT!BD27</f>
        <v>-1194.0301894616569</v>
      </c>
      <c r="E1606" s="184">
        <f>INPUT!CJ27</f>
        <v>-436.06870446189714</v>
      </c>
      <c r="F1606" s="184">
        <f>INPUT!CK27</f>
        <v>-314.94994178543857</v>
      </c>
      <c r="G1606" s="191">
        <f>INPUT!CM27</f>
        <v>-1081.62480290104</v>
      </c>
      <c r="H1606" s="191">
        <f>INPUT!CL27</f>
        <v>60.30276774327028</v>
      </c>
      <c r="I1606" s="191">
        <f>(1.25*(B1606+C1606+D1606+E1606)+1.5*F1606+1.8*IF(1.25*(B1606+C1606+D1606+E1606)+1.5*F1606&gt;=0,H1606,G1606))/2</f>
        <v>-2656.1526964616532</v>
      </c>
      <c r="J1606" s="192">
        <f>I1241*180/PI()</f>
        <v>7.16197243913529</v>
      </c>
      <c r="K1606" s="191">
        <f>I1606/COS(J1606*PI()/180)</f>
        <v>-2677.0398522290925</v>
      </c>
      <c r="L1606" s="191">
        <f>N1526</f>
        <v>5277.0541860455469</v>
      </c>
      <c r="M1606" s="201" t="str">
        <f>IF(ABS(K1606)&lt;=L1606,"OK","NG")</f>
        <v>OK</v>
      </c>
      <c r="N1606" s="203">
        <f>L1606/ABS(K1606)</f>
        <v>1.9712273545914898</v>
      </c>
      <c r="O1606" s="296"/>
    </row>
    <row r="1607">
      <c r="A1607" s="187">
        <f>A1527</f>
        <v>101</v>
      </c>
      <c r="B1607" s="191">
        <f>INPUT!BB28</f>
        <v>-683.35517469674232</v>
      </c>
      <c r="C1607" s="191">
        <f>INPUT!BC28</f>
        <v>-0.91059939832501868</v>
      </c>
      <c r="D1607" s="191">
        <f>INPUT!BD28</f>
        <v>-1194.0301894616569</v>
      </c>
      <c r="E1607" s="184">
        <f>INPUT!CJ28</f>
        <v>-436.06870446189714</v>
      </c>
      <c r="F1607" s="184">
        <f>INPUT!CK28</f>
        <v>-314.94994178543857</v>
      </c>
      <c r="G1607" s="191">
        <f>INPUT!CM28</f>
        <v>-1081.62480290104</v>
      </c>
      <c r="H1607" s="191">
        <f>INPUT!CL28</f>
        <v>60.30276774327028</v>
      </c>
      <c r="I1607" s="191">
        <f>(1.25*(B1607+C1607+D1607+E1607)+1.5*F1607+1.8*IF(1.25*(B1607+C1607+D1607+E1607)+1.5*F1607&gt;=0,H1607,G1607))/2</f>
        <v>-2656.1526964616532</v>
      </c>
      <c r="J1607" s="192">
        <f>I1242*180/PI()</f>
        <v>7.16197243913529</v>
      </c>
      <c r="K1607" s="191">
        <f>I1607/COS(J1607*PI()/180)</f>
        <v>-2677.0398522290925</v>
      </c>
      <c r="L1607" s="191">
        <f>N1527</f>
        <v>5277.0541860455469</v>
      </c>
      <c r="M1607" s="201" t="str">
        <f>IF(ABS(K1607)&lt;=L1607,"OK","NG")</f>
        <v>OK</v>
      </c>
      <c r="N1607" s="203">
        <f>L1607/ABS(K1607)</f>
        <v>1.9712273545914898</v>
      </c>
      <c r="O1607" s="296"/>
    </row>
    <row r="1608">
      <c r="A1608" s="187">
        <f>A1528</f>
        <v>101</v>
      </c>
      <c r="B1608" s="191">
        <f>INPUT!BB29</f>
        <v>-683.35517469674232</v>
      </c>
      <c r="C1608" s="191">
        <f>INPUT!BC29</f>
        <v>-0.91059939832501868</v>
      </c>
      <c r="D1608" s="191">
        <f>INPUT!BD29</f>
        <v>-1194.0301894616569</v>
      </c>
      <c r="E1608" s="184">
        <f>INPUT!CJ29</f>
        <v>-436.06870446189714</v>
      </c>
      <c r="F1608" s="184">
        <f>INPUT!CK29</f>
        <v>-314.94994178543857</v>
      </c>
      <c r="G1608" s="191">
        <f>INPUT!CM29</f>
        <v>-1081.62480290104</v>
      </c>
      <c r="H1608" s="191">
        <f>INPUT!CL29</f>
        <v>60.30276774327028</v>
      </c>
      <c r="I1608" s="191">
        <f>(1.25*(B1608+C1608+D1608+E1608)+1.5*F1608+1.8*IF(1.25*(B1608+C1608+D1608+E1608)+1.5*F1608&gt;=0,H1608,G1608))/2</f>
        <v>-2656.1526964616532</v>
      </c>
      <c r="J1608" s="192">
        <f>I1243*180/PI()</f>
        <v>7.16197243913529</v>
      </c>
      <c r="K1608" s="191">
        <f>I1608/COS(J1608*PI()/180)</f>
        <v>-2677.0398522290925</v>
      </c>
      <c r="L1608" s="191">
        <f>N1528</f>
        <v>5277.0541860455469</v>
      </c>
      <c r="M1608" s="201" t="str">
        <f>IF(ABS(K1608)&lt;=L1608,"OK","NG")</f>
        <v>OK</v>
      </c>
      <c r="N1608" s="203">
        <f>L1608/ABS(K1608)</f>
        <v>1.9712273545914898</v>
      </c>
      <c r="O1608" s="296"/>
    </row>
    <row r="1609">
      <c r="A1609" s="187">
        <f>A1529</f>
        <v>101</v>
      </c>
      <c r="B1609" s="191">
        <f>INPUT!BB30</f>
        <v>-683.35517469674232</v>
      </c>
      <c r="C1609" s="191">
        <f>INPUT!BC30</f>
        <v>-0.91059939832501868</v>
      </c>
      <c r="D1609" s="191">
        <f>INPUT!BD30</f>
        <v>-1194.0301894616569</v>
      </c>
      <c r="E1609" s="184">
        <f>INPUT!CJ30</f>
        <v>-436.06870446189714</v>
      </c>
      <c r="F1609" s="184">
        <f>INPUT!CK30</f>
        <v>-314.94994178543857</v>
      </c>
      <c r="G1609" s="191">
        <f>INPUT!CM30</f>
        <v>-1081.62480290104</v>
      </c>
      <c r="H1609" s="191">
        <f>INPUT!CL30</f>
        <v>60.30276774327028</v>
      </c>
      <c r="I1609" s="191">
        <f>(1.25*(B1609+C1609+D1609+E1609)+1.5*F1609+1.8*IF(1.25*(B1609+C1609+D1609+E1609)+1.5*F1609&gt;=0,H1609,G1609))/2</f>
        <v>-2656.1526964616532</v>
      </c>
      <c r="J1609" s="192">
        <f>I1244*180/PI()</f>
        <v>7.16197243913529</v>
      </c>
      <c r="K1609" s="191">
        <f>I1609/COS(J1609*PI()/180)</f>
        <v>-2677.0398522290925</v>
      </c>
      <c r="L1609" s="191">
        <f>N1529</f>
        <v>5277.0541860455469</v>
      </c>
      <c r="M1609" s="201" t="str">
        <f>IF(ABS(K1609)&lt;=L1609,"OK","NG")</f>
        <v>OK</v>
      </c>
      <c r="N1609" s="203">
        <f>L1609/ABS(K1609)</f>
        <v>1.9712273545914898</v>
      </c>
      <c r="O1609" s="296"/>
    </row>
    <row r="1610">
      <c r="A1610" s="187">
        <f>A1530</f>
        <v>101</v>
      </c>
      <c r="B1610" s="191">
        <f>INPUT!BB31</f>
        <v>-683.35517469674232</v>
      </c>
      <c r="C1610" s="191">
        <f>INPUT!BC31</f>
        <v>-0.91059939832501868</v>
      </c>
      <c r="D1610" s="191">
        <f>INPUT!BD31</f>
        <v>-1194.0301894616569</v>
      </c>
      <c r="E1610" s="184">
        <f>INPUT!CJ31</f>
        <v>-436.06870446189714</v>
      </c>
      <c r="F1610" s="184">
        <f>INPUT!CK31</f>
        <v>-314.94994178543857</v>
      </c>
      <c r="G1610" s="191">
        <f>INPUT!CM31</f>
        <v>-1081.62480290104</v>
      </c>
      <c r="H1610" s="191">
        <f>INPUT!CL31</f>
        <v>60.30276774327028</v>
      </c>
      <c r="I1610" s="191">
        <f>(1.25*(B1610+C1610+D1610+E1610)+1.5*F1610+1.8*IF(1.25*(B1610+C1610+D1610+E1610)+1.5*F1610&gt;=0,H1610,G1610))/2</f>
        <v>-2656.1526964616532</v>
      </c>
      <c r="J1610" s="192">
        <f>I1245*180/PI()</f>
        <v>7.16197243913529</v>
      </c>
      <c r="K1610" s="191">
        <f>I1610/COS(J1610*PI()/180)</f>
        <v>-2677.0398522290925</v>
      </c>
      <c r="L1610" s="191">
        <f>N1530</f>
        <v>5277.0541860455469</v>
      </c>
      <c r="M1610" s="201" t="str">
        <f>IF(ABS(K1610)&lt;=L1610,"OK","NG")</f>
        <v>OK</v>
      </c>
      <c r="N1610" s="203">
        <f>L1610/ABS(K1610)</f>
        <v>1.9712273545914898</v>
      </c>
      <c r="O1610" s="296"/>
    </row>
    <row r="1611">
      <c r="A1611" s="187">
        <f>A1531</f>
        <v>101</v>
      </c>
      <c r="B1611" s="191">
        <f>INPUT!BB32</f>
        <v>-683.35517469674232</v>
      </c>
      <c r="C1611" s="191">
        <f>INPUT!BC32</f>
        <v>-0.91059939832501868</v>
      </c>
      <c r="D1611" s="191">
        <f>INPUT!BD32</f>
        <v>-1194.0301894616569</v>
      </c>
      <c r="E1611" s="184">
        <f>INPUT!CJ32</f>
        <v>-436.06870446189714</v>
      </c>
      <c r="F1611" s="184">
        <f>INPUT!CK32</f>
        <v>-314.94994178543857</v>
      </c>
      <c r="G1611" s="191">
        <f>INPUT!CM32</f>
        <v>-1081.62480290104</v>
      </c>
      <c r="H1611" s="191">
        <f>INPUT!CL32</f>
        <v>60.30276774327028</v>
      </c>
      <c r="I1611" s="191">
        <f>(1.25*(B1611+C1611+D1611+E1611)+1.5*F1611+1.8*IF(1.25*(B1611+C1611+D1611+E1611)+1.5*F1611&gt;=0,H1611,G1611))/2</f>
        <v>-2656.1526964616532</v>
      </c>
      <c r="J1611" s="192">
        <f>I1246*180/PI()</f>
        <v>7.16197243913529</v>
      </c>
      <c r="K1611" s="191">
        <f>I1611/COS(J1611*PI()/180)</f>
        <v>-2677.0398522290925</v>
      </c>
      <c r="L1611" s="191">
        <f>N1531</f>
        <v>5277.0541860455469</v>
      </c>
      <c r="M1611" s="201" t="str">
        <f>IF(ABS(K1611)&lt;=L1611,"OK","NG")</f>
        <v>OK</v>
      </c>
      <c r="N1611" s="203">
        <f>L1611/ABS(K1611)</f>
        <v>1.9712273545914898</v>
      </c>
      <c r="O1611" s="296"/>
    </row>
    <row r="1612">
      <c r="A1612" s="187">
        <f>A1532</f>
        <v>101</v>
      </c>
      <c r="B1612" s="191">
        <f>INPUT!BB33</f>
        <v>-683.35517469674232</v>
      </c>
      <c r="C1612" s="191">
        <f>INPUT!BC33</f>
        <v>-0.91059939832501868</v>
      </c>
      <c r="D1612" s="191">
        <f>INPUT!BD33</f>
        <v>-1194.0301894616569</v>
      </c>
      <c r="E1612" s="184">
        <f>INPUT!CJ33</f>
        <v>-436.06870446189714</v>
      </c>
      <c r="F1612" s="184">
        <f>INPUT!CK33</f>
        <v>-314.94994178543857</v>
      </c>
      <c r="G1612" s="191">
        <f>INPUT!CM33</f>
        <v>-1081.62480290104</v>
      </c>
      <c r="H1612" s="191">
        <f>INPUT!CL33</f>
        <v>60.30276774327028</v>
      </c>
      <c r="I1612" s="191">
        <f>(1.25*(B1612+C1612+D1612+E1612)+1.5*F1612+1.8*IF(1.25*(B1612+C1612+D1612+E1612)+1.5*F1612&gt;=0,H1612,G1612))/2</f>
        <v>-2656.1526964616532</v>
      </c>
      <c r="J1612" s="192">
        <f>I1247*180/PI()</f>
        <v>7.16197243913529</v>
      </c>
      <c r="K1612" s="191">
        <f>I1612/COS(J1612*PI()/180)</f>
        <v>-2677.0398522290925</v>
      </c>
      <c r="L1612" s="191">
        <f>N1532</f>
        <v>5277.0541860455469</v>
      </c>
      <c r="M1612" s="201" t="str">
        <f>IF(ABS(K1612)&lt;=L1612,"OK","NG")</f>
        <v>OK</v>
      </c>
      <c r="N1612" s="203">
        <f>L1612/ABS(K1612)</f>
        <v>1.9712273545914898</v>
      </c>
      <c r="O1612" s="296"/>
    </row>
    <row r="1613">
      <c r="A1613" s="187">
        <f>A1533</f>
        <v>101</v>
      </c>
      <c r="B1613" s="191">
        <f>INPUT!BB34</f>
        <v>-683.35517469674232</v>
      </c>
      <c r="C1613" s="191">
        <f>INPUT!BC34</f>
        <v>-0.91059939832501868</v>
      </c>
      <c r="D1613" s="191">
        <f>INPUT!BD34</f>
        <v>-1194.0301894616569</v>
      </c>
      <c r="E1613" s="184">
        <f>INPUT!CJ34</f>
        <v>-436.06870446189714</v>
      </c>
      <c r="F1613" s="184">
        <f>INPUT!CK34</f>
        <v>-314.94994178543857</v>
      </c>
      <c r="G1613" s="191">
        <f>INPUT!CM34</f>
        <v>-1081.62480290104</v>
      </c>
      <c r="H1613" s="191">
        <f>INPUT!CL34</f>
        <v>60.30276774327028</v>
      </c>
      <c r="I1613" s="191">
        <f>(1.25*(B1613+C1613+D1613+E1613)+1.5*F1613+1.8*IF(1.25*(B1613+C1613+D1613+E1613)+1.5*F1613&gt;=0,H1613,G1613))/2</f>
        <v>-2656.1526964616532</v>
      </c>
      <c r="J1613" s="192">
        <f>I1248*180/PI()</f>
        <v>7.16197243913529</v>
      </c>
      <c r="K1613" s="191">
        <f>I1613/COS(J1613*PI()/180)</f>
        <v>-2677.0398522290925</v>
      </c>
      <c r="L1613" s="191">
        <f>N1533</f>
        <v>5277.0541860455469</v>
      </c>
      <c r="M1613" s="201" t="str">
        <f>IF(ABS(K1613)&lt;=L1613,"OK","NG")</f>
        <v>OK</v>
      </c>
      <c r="N1613" s="203">
        <f>L1613/ABS(K1613)</f>
        <v>1.9712273545914898</v>
      </c>
      <c r="O1613" s="296"/>
    </row>
    <row r="1614">
      <c r="A1614" s="187">
        <f>A1534</f>
        <v>101</v>
      </c>
      <c r="B1614" s="191">
        <f>INPUT!BB35</f>
        <v>-683.35517469674232</v>
      </c>
      <c r="C1614" s="191">
        <f>INPUT!BC35</f>
        <v>-0.91059939832501868</v>
      </c>
      <c r="D1614" s="191">
        <f>INPUT!BD35</f>
        <v>-1194.0301894616569</v>
      </c>
      <c r="E1614" s="184">
        <f>INPUT!CJ35</f>
        <v>-436.06870446189714</v>
      </c>
      <c r="F1614" s="184">
        <f>INPUT!CK35</f>
        <v>-314.94994178543857</v>
      </c>
      <c r="G1614" s="191">
        <f>INPUT!CM35</f>
        <v>-1081.62480290104</v>
      </c>
      <c r="H1614" s="191">
        <f>INPUT!CL35</f>
        <v>60.30276774327028</v>
      </c>
      <c r="I1614" s="191">
        <f>(1.25*(B1614+C1614+D1614+E1614)+1.5*F1614+1.8*IF(1.25*(B1614+C1614+D1614+E1614)+1.5*F1614&gt;=0,H1614,G1614))/2</f>
        <v>-2656.1526964616532</v>
      </c>
      <c r="J1614" s="192">
        <f>I1249*180/PI()</f>
        <v>7.16197243913529</v>
      </c>
      <c r="K1614" s="191">
        <f>I1614/COS(J1614*PI()/180)</f>
        <v>-2677.0398522290925</v>
      </c>
      <c r="L1614" s="191">
        <f>N1534</f>
        <v>5277.0541860455469</v>
      </c>
      <c r="M1614" s="201" t="str">
        <f>IF(ABS(K1614)&lt;=L1614,"OK","NG")</f>
        <v>OK</v>
      </c>
      <c r="N1614" s="203">
        <f>L1614/ABS(K1614)</f>
        <v>1.9712273545914898</v>
      </c>
      <c r="O1614" s="296"/>
    </row>
    <row r="1615">
      <c r="A1615" s="187">
        <f>A1535</f>
        <v>101</v>
      </c>
      <c r="B1615" s="191">
        <f>INPUT!BB36</f>
        <v>-683.35517469674232</v>
      </c>
      <c r="C1615" s="191">
        <f>INPUT!BC36</f>
        <v>-0.91059939832501868</v>
      </c>
      <c r="D1615" s="191">
        <f>INPUT!BD36</f>
        <v>-1194.0301894616569</v>
      </c>
      <c r="E1615" s="184">
        <f>INPUT!CJ36</f>
        <v>-436.06870446189714</v>
      </c>
      <c r="F1615" s="184">
        <f>INPUT!CK36</f>
        <v>-314.94994178543857</v>
      </c>
      <c r="G1615" s="191">
        <f>INPUT!CM36</f>
        <v>-1081.62480290104</v>
      </c>
      <c r="H1615" s="191">
        <f>INPUT!CL36</f>
        <v>60.30276774327028</v>
      </c>
      <c r="I1615" s="191">
        <f>(1.25*(B1615+C1615+D1615+E1615)+1.5*F1615+1.8*IF(1.25*(B1615+C1615+D1615+E1615)+1.5*F1615&gt;=0,H1615,G1615))/2</f>
        <v>-2656.1526964616532</v>
      </c>
      <c r="J1615" s="192">
        <f>I1250*180/PI()</f>
        <v>7.16197243913529</v>
      </c>
      <c r="K1615" s="191">
        <f>I1615/COS(J1615*PI()/180)</f>
        <v>-2677.0398522290925</v>
      </c>
      <c r="L1615" s="191">
        <f>N1535</f>
        <v>5277.0541860455469</v>
      </c>
      <c r="M1615" s="201" t="str">
        <f>IF(ABS(K1615)&lt;=L1615,"OK","NG")</f>
        <v>OK</v>
      </c>
      <c r="N1615" s="203">
        <f>L1615/ABS(K1615)</f>
        <v>1.9712273545914898</v>
      </c>
      <c r="O1615" s="296"/>
    </row>
    <row r="1616">
      <c r="A1616" s="187">
        <f>A1536</f>
        <v>101</v>
      </c>
      <c r="B1616" s="191">
        <f>INPUT!BB37</f>
        <v>-683.35517469674232</v>
      </c>
      <c r="C1616" s="191">
        <f>INPUT!BC37</f>
        <v>-0.91059939832501868</v>
      </c>
      <c r="D1616" s="191">
        <f>INPUT!BD37</f>
        <v>-1194.0301894616569</v>
      </c>
      <c r="E1616" s="184">
        <f>INPUT!CJ37</f>
        <v>-436.06870446189714</v>
      </c>
      <c r="F1616" s="184">
        <f>INPUT!CK37</f>
        <v>-314.94994178543857</v>
      </c>
      <c r="G1616" s="191">
        <f>INPUT!CM37</f>
        <v>-1081.62480290104</v>
      </c>
      <c r="H1616" s="191">
        <f>INPUT!CL37</f>
        <v>60.30276774327028</v>
      </c>
      <c r="I1616" s="191">
        <f>(1.25*(B1616+C1616+D1616+E1616)+1.5*F1616+1.8*IF(1.25*(B1616+C1616+D1616+E1616)+1.5*F1616&gt;=0,H1616,G1616))/2</f>
        <v>-2656.1526964616532</v>
      </c>
      <c r="J1616" s="192">
        <f>I1251*180/PI()</f>
        <v>7.16197243913529</v>
      </c>
      <c r="K1616" s="191">
        <f>I1616/COS(J1616*PI()/180)</f>
        <v>-2677.0398522290925</v>
      </c>
      <c r="L1616" s="191">
        <f>N1536</f>
        <v>5277.0541860455469</v>
      </c>
      <c r="M1616" s="201" t="str">
        <f>IF(ABS(K1616)&lt;=L1616,"OK","NG")</f>
        <v>OK</v>
      </c>
      <c r="N1616" s="203">
        <f>L1616/ABS(K1616)</f>
        <v>1.9712273545914898</v>
      </c>
      <c r="O1616" s="296"/>
    </row>
    <row r="1617">
      <c r="A1617" s="187">
        <f>A1537</f>
        <v>101</v>
      </c>
      <c r="B1617" s="191">
        <f>INPUT!BB38</f>
        <v>-683.35517469674232</v>
      </c>
      <c r="C1617" s="191">
        <f>INPUT!BC38</f>
        <v>-0.91059939832501868</v>
      </c>
      <c r="D1617" s="191">
        <f>INPUT!BD38</f>
        <v>-1194.0301894616569</v>
      </c>
      <c r="E1617" s="184">
        <f>INPUT!CJ38</f>
        <v>-436.06870446189714</v>
      </c>
      <c r="F1617" s="184">
        <f>INPUT!CK38</f>
        <v>-314.94994178543857</v>
      </c>
      <c r="G1617" s="191">
        <f>INPUT!CM38</f>
        <v>-1081.62480290104</v>
      </c>
      <c r="H1617" s="191">
        <f>INPUT!CL38</f>
        <v>60.30276774327028</v>
      </c>
      <c r="I1617" s="191">
        <f>(1.25*(B1617+C1617+D1617+E1617)+1.5*F1617+1.8*IF(1.25*(B1617+C1617+D1617+E1617)+1.5*F1617&gt;=0,H1617,G1617))/2</f>
        <v>-2656.1526964616532</v>
      </c>
      <c r="J1617" s="192">
        <f>I1252*180/PI()</f>
        <v>7.16197243913529</v>
      </c>
      <c r="K1617" s="191">
        <f>I1617/COS(J1617*PI()/180)</f>
        <v>-2677.0398522290925</v>
      </c>
      <c r="L1617" s="191">
        <f>N1537</f>
        <v>5277.0541860455469</v>
      </c>
      <c r="M1617" s="201" t="str">
        <f>IF(ABS(K1617)&lt;=L1617,"OK","NG")</f>
        <v>OK</v>
      </c>
      <c r="N1617" s="203">
        <f>L1617/ABS(K1617)</f>
        <v>1.9712273545914898</v>
      </c>
      <c r="O1617" s="296"/>
    </row>
    <row r="1618">
      <c r="A1618" s="187">
        <f>A1538</f>
        <v>101</v>
      </c>
      <c r="B1618" s="191">
        <f>INPUT!BB39</f>
        <v>-683.35517469674232</v>
      </c>
      <c r="C1618" s="191">
        <f>INPUT!BC39</f>
        <v>-0.91059939832501868</v>
      </c>
      <c r="D1618" s="191">
        <f>INPUT!BD39</f>
        <v>-1194.0301894616569</v>
      </c>
      <c r="E1618" s="184">
        <f>INPUT!CJ39</f>
        <v>-436.06870446189714</v>
      </c>
      <c r="F1618" s="184">
        <f>INPUT!CK39</f>
        <v>-314.94994178543857</v>
      </c>
      <c r="G1618" s="191">
        <f>INPUT!CM39</f>
        <v>-1081.62480290104</v>
      </c>
      <c r="H1618" s="191">
        <f>INPUT!CL39</f>
        <v>60.30276774327028</v>
      </c>
      <c r="I1618" s="191">
        <f>(1.25*(B1618+C1618+D1618+E1618)+1.5*F1618+1.8*IF(1.25*(B1618+C1618+D1618+E1618)+1.5*F1618&gt;=0,H1618,G1618))/2</f>
        <v>-2656.1526964616532</v>
      </c>
      <c r="J1618" s="192">
        <f>I1253*180/PI()</f>
        <v>7.16197243913529</v>
      </c>
      <c r="K1618" s="191">
        <f>I1618/COS(J1618*PI()/180)</f>
        <v>-2677.0398522290925</v>
      </c>
      <c r="L1618" s="191">
        <f>N1538</f>
        <v>5277.0541860455469</v>
      </c>
      <c r="M1618" s="201" t="str">
        <f>IF(ABS(K1618)&lt;=L1618,"OK","NG")</f>
        <v>OK</v>
      </c>
      <c r="N1618" s="203">
        <f>L1618/ABS(K1618)</f>
        <v>1.9712273545914898</v>
      </c>
      <c r="O1618" s="296"/>
    </row>
    <row r="1619">
      <c r="A1619" s="187">
        <f>A1539</f>
        <v>101</v>
      </c>
      <c r="B1619" s="191">
        <f>INPUT!BB40</f>
        <v>-683.35517469674232</v>
      </c>
      <c r="C1619" s="191">
        <f>INPUT!BC40</f>
        <v>-0.91059939832501868</v>
      </c>
      <c r="D1619" s="191">
        <f>INPUT!BD40</f>
        <v>-1194.0301894616569</v>
      </c>
      <c r="E1619" s="184">
        <f>INPUT!CJ40</f>
        <v>-436.06870446189714</v>
      </c>
      <c r="F1619" s="184">
        <f>INPUT!CK40</f>
        <v>-314.94994178543857</v>
      </c>
      <c r="G1619" s="191">
        <f>INPUT!CM40</f>
        <v>-1081.62480290104</v>
      </c>
      <c r="H1619" s="191">
        <f>INPUT!CL40</f>
        <v>60.30276774327028</v>
      </c>
      <c r="I1619" s="191">
        <f>(1.25*(B1619+C1619+D1619+E1619)+1.5*F1619+1.8*IF(1.25*(B1619+C1619+D1619+E1619)+1.5*F1619&gt;=0,H1619,G1619))/2</f>
        <v>-2656.1526964616532</v>
      </c>
      <c r="J1619" s="192">
        <f>I1254*180/PI()</f>
        <v>7.16197243913529</v>
      </c>
      <c r="K1619" s="191">
        <f>I1619/COS(J1619*PI()/180)</f>
        <v>-2677.0398522290925</v>
      </c>
      <c r="L1619" s="191">
        <f>N1539</f>
        <v>5277.0541860455469</v>
      </c>
      <c r="M1619" s="201" t="str">
        <f>IF(ABS(K1619)&lt;=L1619,"OK","NG")</f>
        <v>OK</v>
      </c>
      <c r="N1619" s="203">
        <f>L1619/ABS(K1619)</f>
        <v>1.9712273545914898</v>
      </c>
      <c r="O1619" s="296"/>
    </row>
    <row r="1620">
      <c r="A1620" s="187">
        <f>A1540</f>
        <v>101</v>
      </c>
      <c r="B1620" s="191">
        <f>INPUT!BB41</f>
        <v>-683.35517469674232</v>
      </c>
      <c r="C1620" s="191">
        <f>INPUT!BC41</f>
        <v>-0.91059939832501868</v>
      </c>
      <c r="D1620" s="191">
        <f>INPUT!BD41</f>
        <v>-1194.0301894616569</v>
      </c>
      <c r="E1620" s="184">
        <f>INPUT!CJ41</f>
        <v>-436.06870446189714</v>
      </c>
      <c r="F1620" s="184">
        <f>INPUT!CK41</f>
        <v>-314.94994178543857</v>
      </c>
      <c r="G1620" s="191">
        <f>INPUT!CM41</f>
        <v>-1081.62480290104</v>
      </c>
      <c r="H1620" s="191">
        <f>INPUT!CL41</f>
        <v>60.30276774327028</v>
      </c>
      <c r="I1620" s="191">
        <f>(1.25*(B1620+C1620+D1620+E1620)+1.5*F1620+1.8*IF(1.25*(B1620+C1620+D1620+E1620)+1.5*F1620&gt;=0,H1620,G1620))/2</f>
        <v>-2656.1526964616532</v>
      </c>
      <c r="J1620" s="192">
        <f>I1255*180/PI()</f>
        <v>7.16197243913529</v>
      </c>
      <c r="K1620" s="191">
        <f>I1620/COS(J1620*PI()/180)</f>
        <v>-2677.0398522290925</v>
      </c>
      <c r="L1620" s="191">
        <f>N1540</f>
        <v>5277.0541860455469</v>
      </c>
      <c r="M1620" s="201" t="str">
        <f>IF(ABS(K1620)&lt;=L1620,"OK","NG")</f>
        <v>OK</v>
      </c>
      <c r="N1620" s="203">
        <f>L1620/ABS(K1620)</f>
        <v>1.9712273545914898</v>
      </c>
      <c r="O1620" s="296"/>
    </row>
    <row r="1621">
      <c r="A1621" s="187">
        <f>A1541</f>
        <v>101</v>
      </c>
      <c r="B1621" s="191">
        <f>INPUT!BB42</f>
        <v>-683.35517469674232</v>
      </c>
      <c r="C1621" s="191">
        <f>INPUT!BC42</f>
        <v>-0.91059939832501868</v>
      </c>
      <c r="D1621" s="191">
        <f>INPUT!BD42</f>
        <v>-1194.0301894616569</v>
      </c>
      <c r="E1621" s="184">
        <f>INPUT!CJ42</f>
        <v>-436.06870446189714</v>
      </c>
      <c r="F1621" s="184">
        <f>INPUT!CK42</f>
        <v>-314.94994178543857</v>
      </c>
      <c r="G1621" s="191">
        <f>INPUT!CM42</f>
        <v>-1081.62480290104</v>
      </c>
      <c r="H1621" s="191">
        <f>INPUT!CL42</f>
        <v>60.30276774327028</v>
      </c>
      <c r="I1621" s="191">
        <f>(1.25*(B1621+C1621+D1621+E1621)+1.5*F1621+1.8*IF(1.25*(B1621+C1621+D1621+E1621)+1.5*F1621&gt;=0,H1621,G1621))/2</f>
        <v>-2656.1526964616532</v>
      </c>
      <c r="J1621" s="192">
        <f>I1256*180/PI()</f>
        <v>7.16197243913529</v>
      </c>
      <c r="K1621" s="191">
        <f>I1621/COS(J1621*PI()/180)</f>
        <v>-2677.0398522290925</v>
      </c>
      <c r="L1621" s="191">
        <f>N1541</f>
        <v>5277.0541860455469</v>
      </c>
      <c r="M1621" s="201" t="str">
        <f>IF(ABS(K1621)&lt;=L1621,"OK","NG")</f>
        <v>OK</v>
      </c>
      <c r="N1621" s="203">
        <f>L1621/ABS(K1621)</f>
        <v>1.9712273545914898</v>
      </c>
      <c r="O1621" s="296"/>
    </row>
    <row r="1622">
      <c r="A1622" s="187">
        <f>A1542</f>
        <v>101</v>
      </c>
      <c r="B1622" s="191">
        <f>INPUT!BB43</f>
        <v>-683.35517469674232</v>
      </c>
      <c r="C1622" s="191">
        <f>INPUT!BC43</f>
        <v>-0.91059939832501868</v>
      </c>
      <c r="D1622" s="191">
        <f>INPUT!BD43</f>
        <v>-1194.0301894616569</v>
      </c>
      <c r="E1622" s="184">
        <f>INPUT!CJ43</f>
        <v>-436.06870446189714</v>
      </c>
      <c r="F1622" s="184">
        <f>INPUT!CK43</f>
        <v>-314.94994178543857</v>
      </c>
      <c r="G1622" s="191">
        <f>INPUT!CM43</f>
        <v>-1081.62480290104</v>
      </c>
      <c r="H1622" s="191">
        <f>INPUT!CL43</f>
        <v>60.30276774327028</v>
      </c>
      <c r="I1622" s="191">
        <f>(1.25*(B1622+C1622+D1622+E1622)+1.5*F1622+1.8*IF(1.25*(B1622+C1622+D1622+E1622)+1.5*F1622&gt;=0,H1622,G1622))/2</f>
        <v>-2656.1526964616532</v>
      </c>
      <c r="J1622" s="192">
        <f>I1257*180/PI()</f>
        <v>7.16197243913529</v>
      </c>
      <c r="K1622" s="191">
        <f>I1622/COS(J1622*PI()/180)</f>
        <v>-2677.0398522290925</v>
      </c>
      <c r="L1622" s="191">
        <f>N1542</f>
        <v>5277.0541860455469</v>
      </c>
      <c r="M1622" s="201" t="str">
        <f>IF(ABS(K1622)&lt;=L1622,"OK","NG")</f>
        <v>OK</v>
      </c>
      <c r="N1622" s="203">
        <f>L1622/ABS(K1622)</f>
        <v>1.9712273545914898</v>
      </c>
      <c r="O1622" s="296"/>
    </row>
    <row r="1623">
      <c r="A1623" s="187">
        <f>A1543</f>
        <v>101</v>
      </c>
      <c r="B1623" s="191">
        <f>INPUT!BB44</f>
        <v>-683.35517469674232</v>
      </c>
      <c r="C1623" s="191">
        <f>INPUT!BC44</f>
        <v>-0.91059939832501868</v>
      </c>
      <c r="D1623" s="191">
        <f>INPUT!BD44</f>
        <v>-1194.0301894616569</v>
      </c>
      <c r="E1623" s="184">
        <f>INPUT!CJ44</f>
        <v>-436.06870446189714</v>
      </c>
      <c r="F1623" s="184">
        <f>INPUT!CK44</f>
        <v>-314.94994178543857</v>
      </c>
      <c r="G1623" s="191">
        <f>INPUT!CM44</f>
        <v>-1081.62480290104</v>
      </c>
      <c r="H1623" s="191">
        <f>INPUT!CL44</f>
        <v>60.30276774327028</v>
      </c>
      <c r="I1623" s="191">
        <f>(1.25*(B1623+C1623+D1623+E1623)+1.5*F1623+1.8*IF(1.25*(B1623+C1623+D1623+E1623)+1.5*F1623&gt;=0,H1623,G1623))/2</f>
        <v>-2656.1526964616532</v>
      </c>
      <c r="J1623" s="192">
        <f>I1258*180/PI()</f>
        <v>7.16197243913529</v>
      </c>
      <c r="K1623" s="191">
        <f>I1623/COS(J1623*PI()/180)</f>
        <v>-2677.0398522290925</v>
      </c>
      <c r="L1623" s="191">
        <f>N1543</f>
        <v>5277.0541860455469</v>
      </c>
      <c r="M1623" s="201" t="str">
        <f>IF(ABS(K1623)&lt;=L1623,"OK","NG")</f>
        <v>OK</v>
      </c>
      <c r="N1623" s="203">
        <f>L1623/ABS(K1623)</f>
        <v>1.9712273545914898</v>
      </c>
      <c r="O1623" s="296"/>
    </row>
    <row r="1624">
      <c r="A1624" s="187">
        <f>A1544</f>
        <v>101</v>
      </c>
      <c r="B1624" s="191">
        <f>INPUT!BB45</f>
        <v>-683.35517469674232</v>
      </c>
      <c r="C1624" s="191">
        <f>INPUT!BC45</f>
        <v>-0.91059939832501868</v>
      </c>
      <c r="D1624" s="191">
        <f>INPUT!BD45</f>
        <v>-1194.0301894616569</v>
      </c>
      <c r="E1624" s="184">
        <f>INPUT!CJ45</f>
        <v>-436.06870446189714</v>
      </c>
      <c r="F1624" s="184">
        <f>INPUT!CK45</f>
        <v>-314.94994178543857</v>
      </c>
      <c r="G1624" s="191">
        <f>INPUT!CM45</f>
        <v>-1081.62480290104</v>
      </c>
      <c r="H1624" s="191">
        <f>INPUT!CL45</f>
        <v>60.30276774327028</v>
      </c>
      <c r="I1624" s="191">
        <f>(1.25*(B1624+C1624+D1624+E1624)+1.5*F1624+1.8*IF(1.25*(B1624+C1624+D1624+E1624)+1.5*F1624&gt;=0,H1624,G1624))/2</f>
        <v>-2656.1526964616532</v>
      </c>
      <c r="J1624" s="192">
        <f>I1259*180/PI()</f>
        <v>7.16197243913529</v>
      </c>
      <c r="K1624" s="191">
        <f>I1624/COS(J1624*PI()/180)</f>
        <v>-2677.0398522290925</v>
      </c>
      <c r="L1624" s="191">
        <f>N1544</f>
        <v>5277.0541860455469</v>
      </c>
      <c r="M1624" s="201" t="str">
        <f>IF(ABS(K1624)&lt;=L1624,"OK","NG")</f>
        <v>OK</v>
      </c>
      <c r="N1624" s="203">
        <f>L1624/ABS(K1624)</f>
        <v>1.9712273545914898</v>
      </c>
      <c r="O1624" s="296"/>
    </row>
    <row r="1625">
      <c r="A1625" s="187">
        <f>A1545</f>
        <v>101</v>
      </c>
      <c r="B1625" s="191">
        <f>INPUT!BB46</f>
        <v>-683.35517469674232</v>
      </c>
      <c r="C1625" s="191">
        <f>INPUT!BC46</f>
        <v>-0.91059939832501868</v>
      </c>
      <c r="D1625" s="191">
        <f>INPUT!BD46</f>
        <v>-1194.0301894616569</v>
      </c>
      <c r="E1625" s="184">
        <f>INPUT!CJ46</f>
        <v>-436.06870446189714</v>
      </c>
      <c r="F1625" s="184">
        <f>INPUT!CK46</f>
        <v>-314.94994178543857</v>
      </c>
      <c r="G1625" s="191">
        <f>INPUT!CM46</f>
        <v>-1081.62480290104</v>
      </c>
      <c r="H1625" s="191">
        <f>INPUT!CL46</f>
        <v>60.30276774327028</v>
      </c>
      <c r="I1625" s="191">
        <f>(1.25*(B1625+C1625+D1625+E1625)+1.5*F1625+1.8*IF(1.25*(B1625+C1625+D1625+E1625)+1.5*F1625&gt;=0,H1625,G1625))/2</f>
        <v>-2656.1526964616532</v>
      </c>
      <c r="J1625" s="192">
        <f>I1260*180/PI()</f>
        <v>7.16197243913529</v>
      </c>
      <c r="K1625" s="191">
        <f>I1625/COS(J1625*PI()/180)</f>
        <v>-2677.0398522290925</v>
      </c>
      <c r="L1625" s="191">
        <f>N1545</f>
        <v>5277.0541860455469</v>
      </c>
      <c r="M1625" s="201" t="str">
        <f>IF(ABS(K1625)&lt;=L1625,"OK","NG")</f>
        <v>OK</v>
      </c>
      <c r="N1625" s="203">
        <f>L1625/ABS(K1625)</f>
        <v>1.9712273545914898</v>
      </c>
      <c r="O1625" s="296"/>
    </row>
    <row r="1626">
      <c r="A1626" s="187">
        <f>A1546</f>
        <v>101</v>
      </c>
      <c r="B1626" s="191">
        <f>INPUT!BB47</f>
        <v>-683.35517469674232</v>
      </c>
      <c r="C1626" s="191">
        <f>INPUT!BC47</f>
        <v>-0.91059939832501868</v>
      </c>
      <c r="D1626" s="191">
        <f>INPUT!BD47</f>
        <v>-1194.0301894616569</v>
      </c>
      <c r="E1626" s="184">
        <f>INPUT!CJ47</f>
        <v>-436.06870446189714</v>
      </c>
      <c r="F1626" s="184">
        <f>INPUT!CK47</f>
        <v>-314.94994178543857</v>
      </c>
      <c r="G1626" s="191">
        <f>INPUT!CM47</f>
        <v>-1081.62480290104</v>
      </c>
      <c r="H1626" s="191">
        <f>INPUT!CL47</f>
        <v>60.30276774327028</v>
      </c>
      <c r="I1626" s="191">
        <f>(1.25*(B1626+C1626+D1626+E1626)+1.5*F1626+1.8*IF(1.25*(B1626+C1626+D1626+E1626)+1.5*F1626&gt;=0,H1626,G1626))/2</f>
        <v>-2656.1526964616532</v>
      </c>
      <c r="J1626" s="192">
        <f>I1261*180/PI()</f>
        <v>7.16197243913529</v>
      </c>
      <c r="K1626" s="191">
        <f>I1626/COS(J1626*PI()/180)</f>
        <v>-2677.0398522290925</v>
      </c>
      <c r="L1626" s="191">
        <f>N1546</f>
        <v>5277.0541860455469</v>
      </c>
      <c r="M1626" s="201" t="str">
        <f>IF(ABS(K1626)&lt;=L1626,"OK","NG")</f>
        <v>OK</v>
      </c>
      <c r="N1626" s="203">
        <f>L1626/ABS(K1626)</f>
        <v>1.9712273545914898</v>
      </c>
      <c r="O1626" s="296"/>
    </row>
    <row r="1627">
      <c r="A1627" s="187">
        <f>A1547</f>
        <v>101</v>
      </c>
      <c r="B1627" s="191">
        <f>INPUT!BB48</f>
        <v>-683.35517469674232</v>
      </c>
      <c r="C1627" s="191">
        <f>INPUT!BC48</f>
        <v>-0.91059939832501868</v>
      </c>
      <c r="D1627" s="191">
        <f>INPUT!BD48</f>
        <v>-1194.0301894616569</v>
      </c>
      <c r="E1627" s="184">
        <f>INPUT!CJ48</f>
        <v>-436.06870446189714</v>
      </c>
      <c r="F1627" s="184">
        <f>INPUT!CK48</f>
        <v>-314.94994178543857</v>
      </c>
      <c r="G1627" s="191">
        <f>INPUT!CM48</f>
        <v>-1081.62480290104</v>
      </c>
      <c r="H1627" s="191">
        <f>INPUT!CL48</f>
        <v>60.30276774327028</v>
      </c>
      <c r="I1627" s="191">
        <f>(1.25*(B1627+C1627+D1627+E1627)+1.5*F1627+1.8*IF(1.25*(B1627+C1627+D1627+E1627)+1.5*F1627&gt;=0,H1627,G1627))/2</f>
        <v>-2656.1526964616532</v>
      </c>
      <c r="J1627" s="192">
        <f>I1262*180/PI()</f>
        <v>7.16197243913529</v>
      </c>
      <c r="K1627" s="191">
        <f>I1627/COS(J1627*PI()/180)</f>
        <v>-2677.0398522290925</v>
      </c>
      <c r="L1627" s="191">
        <f>N1547</f>
        <v>5277.0541860455469</v>
      </c>
      <c r="M1627" s="201" t="str">
        <f>IF(ABS(K1627)&lt;=L1627,"OK","NG")</f>
        <v>OK</v>
      </c>
      <c r="N1627" s="203">
        <f>L1627/ABS(K1627)</f>
        <v>1.9712273545914898</v>
      </c>
      <c r="O1627" s="296"/>
    </row>
    <row r="1628">
      <c r="A1628" s="187">
        <f>A1548</f>
        <v>101</v>
      </c>
      <c r="B1628" s="191">
        <f>INPUT!BB49</f>
        <v>-683.35517469674232</v>
      </c>
      <c r="C1628" s="191">
        <f>INPUT!BC49</f>
        <v>-0.91059939832501868</v>
      </c>
      <c r="D1628" s="191">
        <f>INPUT!BD49</f>
        <v>-1194.0301894616569</v>
      </c>
      <c r="E1628" s="184">
        <f>INPUT!CJ49</f>
        <v>-436.06870446189714</v>
      </c>
      <c r="F1628" s="184">
        <f>INPUT!CK49</f>
        <v>-314.94994178543857</v>
      </c>
      <c r="G1628" s="191">
        <f>INPUT!CM49</f>
        <v>-1081.62480290104</v>
      </c>
      <c r="H1628" s="191">
        <f>INPUT!CL49</f>
        <v>60.30276774327028</v>
      </c>
      <c r="I1628" s="191">
        <f>(1.25*(B1628+C1628+D1628+E1628)+1.5*F1628+1.8*IF(1.25*(B1628+C1628+D1628+E1628)+1.5*F1628&gt;=0,H1628,G1628))/2</f>
        <v>-2656.1526964616532</v>
      </c>
      <c r="J1628" s="192">
        <f>I1263*180/PI()</f>
        <v>7.16197243913529</v>
      </c>
      <c r="K1628" s="191">
        <f>I1628/COS(J1628*PI()/180)</f>
        <v>-2677.0398522290925</v>
      </c>
      <c r="L1628" s="191">
        <f>N1548</f>
        <v>5277.0541860455469</v>
      </c>
      <c r="M1628" s="201" t="str">
        <f>IF(ABS(K1628)&lt;=L1628,"OK","NG")</f>
        <v>OK</v>
      </c>
      <c r="N1628" s="203">
        <f>L1628/ABS(K1628)</f>
        <v>1.9712273545914898</v>
      </c>
      <c r="O1628" s="296"/>
    </row>
    <row r="1629">
      <c r="A1629" s="187">
        <f>A1549</f>
        <v>101</v>
      </c>
      <c r="B1629" s="191">
        <f>INPUT!BB50</f>
        <v>-683.35517469674232</v>
      </c>
      <c r="C1629" s="191">
        <f>INPUT!BC50</f>
        <v>-0.91059939832501868</v>
      </c>
      <c r="D1629" s="191">
        <f>INPUT!BD50</f>
        <v>-1194.0301894616569</v>
      </c>
      <c r="E1629" s="184">
        <f>INPUT!CJ50</f>
        <v>-436.06870446189714</v>
      </c>
      <c r="F1629" s="184">
        <f>INPUT!CK50</f>
        <v>-314.94994178543857</v>
      </c>
      <c r="G1629" s="191">
        <f>INPUT!CM50</f>
        <v>-1081.62480290104</v>
      </c>
      <c r="H1629" s="191">
        <f>INPUT!CL50</f>
        <v>60.30276774327028</v>
      </c>
      <c r="I1629" s="191">
        <f>(1.25*(B1629+C1629+D1629+E1629)+1.5*F1629+1.8*IF(1.25*(B1629+C1629+D1629+E1629)+1.5*F1629&gt;=0,H1629,G1629))/2</f>
        <v>-2656.1526964616532</v>
      </c>
      <c r="J1629" s="192">
        <f>I1264*180/PI()</f>
        <v>7.16197243913529</v>
      </c>
      <c r="K1629" s="191">
        <f>I1629/COS(J1629*PI()/180)</f>
        <v>-2677.0398522290925</v>
      </c>
      <c r="L1629" s="191">
        <f>N1549</f>
        <v>5277.0541860455469</v>
      </c>
      <c r="M1629" s="201" t="str">
        <f>IF(ABS(K1629)&lt;=L1629,"OK","NG")</f>
        <v>OK</v>
      </c>
      <c r="N1629" s="203">
        <f>L1629/ABS(K1629)</f>
        <v>1.9712273545914898</v>
      </c>
      <c r="O1629" s="296"/>
    </row>
    <row r="1630">
      <c r="A1630" s="187">
        <f>A1550</f>
        <v>101</v>
      </c>
      <c r="B1630" s="191">
        <f>INPUT!BB51</f>
        <v>-683.35517469674232</v>
      </c>
      <c r="C1630" s="191">
        <f>INPUT!BC51</f>
        <v>-0.91059939832501868</v>
      </c>
      <c r="D1630" s="191">
        <f>INPUT!BD51</f>
        <v>-1194.0301894616569</v>
      </c>
      <c r="E1630" s="184">
        <f>INPUT!CJ51</f>
        <v>-436.06870446189714</v>
      </c>
      <c r="F1630" s="184">
        <f>INPUT!CK51</f>
        <v>-314.94994178543857</v>
      </c>
      <c r="G1630" s="191">
        <f>INPUT!CM51</f>
        <v>-1081.62480290104</v>
      </c>
      <c r="H1630" s="191">
        <f>INPUT!CL51</f>
        <v>60.30276774327028</v>
      </c>
      <c r="I1630" s="191">
        <f>(1.25*(B1630+C1630+D1630+E1630)+1.5*F1630+1.8*IF(1.25*(B1630+C1630+D1630+E1630)+1.5*F1630&gt;=0,H1630,G1630))/2</f>
        <v>-2656.1526964616532</v>
      </c>
      <c r="J1630" s="192">
        <f>I1265*180/PI()</f>
        <v>7.16197243913529</v>
      </c>
      <c r="K1630" s="191">
        <f>I1630/COS(J1630*PI()/180)</f>
        <v>-2677.0398522290925</v>
      </c>
      <c r="L1630" s="191">
        <f>N1550</f>
        <v>5277.0541860455469</v>
      </c>
      <c r="M1630" s="201" t="str">
        <f>IF(ABS(K1630)&lt;=L1630,"OK","NG")</f>
        <v>OK</v>
      </c>
      <c r="N1630" s="203">
        <f>L1630/ABS(K1630)</f>
        <v>1.9712273545914898</v>
      </c>
      <c r="O1630" s="296"/>
    </row>
    <row r="1631">
      <c r="A1631" s="187">
        <f>A1551</f>
        <v>101</v>
      </c>
      <c r="B1631" s="191">
        <f>INPUT!BB52</f>
        <v>-683.35517469674232</v>
      </c>
      <c r="C1631" s="191">
        <f>INPUT!BC52</f>
        <v>-0.91059939832501868</v>
      </c>
      <c r="D1631" s="191">
        <f>INPUT!BD52</f>
        <v>-1194.0301894616569</v>
      </c>
      <c r="E1631" s="184">
        <f>INPUT!CJ52</f>
        <v>-436.06870446189714</v>
      </c>
      <c r="F1631" s="184">
        <f>INPUT!CK52</f>
        <v>-314.94994178543857</v>
      </c>
      <c r="G1631" s="191">
        <f>INPUT!CM52</f>
        <v>-1081.62480290104</v>
      </c>
      <c r="H1631" s="191">
        <f>INPUT!CL52</f>
        <v>60.30276774327028</v>
      </c>
      <c r="I1631" s="191">
        <f>(1.25*(B1631+C1631+D1631+E1631)+1.5*F1631+1.8*IF(1.25*(B1631+C1631+D1631+E1631)+1.5*F1631&gt;=0,H1631,G1631))/2</f>
        <v>-2656.1526964616532</v>
      </c>
      <c r="J1631" s="192">
        <f>I1266*180/PI()</f>
        <v>7.16197243913529</v>
      </c>
      <c r="K1631" s="191">
        <f>I1631/COS(J1631*PI()/180)</f>
        <v>-2677.0398522290925</v>
      </c>
      <c r="L1631" s="191">
        <f>N1551</f>
        <v>5277.0541860455469</v>
      </c>
      <c r="M1631" s="201" t="str">
        <f>IF(ABS(K1631)&lt;=L1631,"OK","NG")</f>
        <v>OK</v>
      </c>
      <c r="N1631" s="203">
        <f>L1631/ABS(K1631)</f>
        <v>1.9712273545914898</v>
      </c>
      <c r="O1631" s="296"/>
    </row>
    <row r="1632">
      <c r="A1632" s="187">
        <f>A1552</f>
        <v>101</v>
      </c>
      <c r="B1632" s="191">
        <f>INPUT!BB53</f>
        <v>-683.35517469674232</v>
      </c>
      <c r="C1632" s="191">
        <f>INPUT!BC53</f>
        <v>-0.91059939832501868</v>
      </c>
      <c r="D1632" s="191">
        <f>INPUT!BD53</f>
        <v>-1194.0301894616569</v>
      </c>
      <c r="E1632" s="184">
        <f>INPUT!CJ53</f>
        <v>-436.06870446189714</v>
      </c>
      <c r="F1632" s="184">
        <f>INPUT!CK53</f>
        <v>-314.94994178543857</v>
      </c>
      <c r="G1632" s="191">
        <f>INPUT!CM53</f>
        <v>-1081.62480290104</v>
      </c>
      <c r="H1632" s="191">
        <f>INPUT!CL53</f>
        <v>60.30276774327028</v>
      </c>
      <c r="I1632" s="191">
        <f>(1.25*(B1632+C1632+D1632+E1632)+1.5*F1632+1.8*IF(1.25*(B1632+C1632+D1632+E1632)+1.5*F1632&gt;=0,H1632,G1632))/2</f>
        <v>-2656.1526964616532</v>
      </c>
      <c r="J1632" s="192">
        <f>I1267*180/PI()</f>
        <v>7.16197243913529</v>
      </c>
      <c r="K1632" s="191">
        <f>I1632/COS(J1632*PI()/180)</f>
        <v>-2677.0398522290925</v>
      </c>
      <c r="L1632" s="191">
        <f>N1552</f>
        <v>5277.0541860455469</v>
      </c>
      <c r="M1632" s="201" t="str">
        <f>IF(ABS(K1632)&lt;=L1632,"OK","NG")</f>
        <v>OK</v>
      </c>
      <c r="N1632" s="203">
        <f>L1632/ABS(K1632)</f>
        <v>1.9712273545914898</v>
      </c>
      <c r="O1632" s="296"/>
    </row>
    <row r="1633">
      <c r="A1633" s="187">
        <f>A1553</f>
        <v>101</v>
      </c>
      <c r="B1633" s="191">
        <f>INPUT!BB54</f>
        <v>-683.35517469674232</v>
      </c>
      <c r="C1633" s="191">
        <f>INPUT!BC54</f>
        <v>-0.91059939832501868</v>
      </c>
      <c r="D1633" s="191">
        <f>INPUT!BD54</f>
        <v>-1194.0301894616569</v>
      </c>
      <c r="E1633" s="184">
        <f>INPUT!CJ54</f>
        <v>-436.06870446189714</v>
      </c>
      <c r="F1633" s="184">
        <f>INPUT!CK54</f>
        <v>-314.94994178543857</v>
      </c>
      <c r="G1633" s="191">
        <f>INPUT!CM54</f>
        <v>-1081.62480290104</v>
      </c>
      <c r="H1633" s="191">
        <f>INPUT!CL54</f>
        <v>60.30276774327028</v>
      </c>
      <c r="I1633" s="191">
        <f>(1.25*(B1633+C1633+D1633+E1633)+1.5*F1633+1.8*IF(1.25*(B1633+C1633+D1633+E1633)+1.5*F1633&gt;=0,H1633,G1633))/2</f>
        <v>-2656.1526964616532</v>
      </c>
      <c r="J1633" s="192">
        <f>I1268*180/PI()</f>
        <v>7.16197243913529</v>
      </c>
      <c r="K1633" s="191">
        <f>I1633/COS(J1633*PI()/180)</f>
        <v>-2677.0398522290925</v>
      </c>
      <c r="L1633" s="191">
        <f>N1553</f>
        <v>5277.0541860455469</v>
      </c>
      <c r="M1633" s="201" t="str">
        <f>IF(ABS(K1633)&lt;=L1633,"OK","NG")</f>
        <v>OK</v>
      </c>
      <c r="N1633" s="203">
        <f>L1633/ABS(K1633)</f>
        <v>1.9712273545914898</v>
      </c>
      <c r="O1633" s="296"/>
    </row>
    <row r="1634">
      <c r="A1634" s="187">
        <f>A1554</f>
        <v>101</v>
      </c>
      <c r="B1634" s="191">
        <f>INPUT!BB55</f>
        <v>-683.35517469674232</v>
      </c>
      <c r="C1634" s="191">
        <f>INPUT!BC55</f>
        <v>-0.91059939832501868</v>
      </c>
      <c r="D1634" s="191">
        <f>INPUT!BD55</f>
        <v>-1194.0301894616569</v>
      </c>
      <c r="E1634" s="184">
        <f>INPUT!CJ55</f>
        <v>-436.06870446189714</v>
      </c>
      <c r="F1634" s="184">
        <f>INPUT!CK55</f>
        <v>-314.94994178543857</v>
      </c>
      <c r="G1634" s="191">
        <f>INPUT!CM55</f>
        <v>-1081.62480290104</v>
      </c>
      <c r="H1634" s="191">
        <f>INPUT!CL55</f>
        <v>60.30276774327028</v>
      </c>
      <c r="I1634" s="191">
        <f>(1.25*(B1634+C1634+D1634+E1634)+1.5*F1634+1.8*IF(1.25*(B1634+C1634+D1634+E1634)+1.5*F1634&gt;=0,H1634,G1634))/2</f>
        <v>-2656.1526964616532</v>
      </c>
      <c r="J1634" s="192">
        <f>I1269*180/PI()</f>
        <v>7.16197243913529</v>
      </c>
      <c r="K1634" s="191">
        <f>I1634/COS(J1634*PI()/180)</f>
        <v>-2677.0398522290925</v>
      </c>
      <c r="L1634" s="191">
        <f>N1554</f>
        <v>5277.0541860455469</v>
      </c>
      <c r="M1634" s="201" t="str">
        <f>IF(ABS(K1634)&lt;=L1634,"OK","NG")</f>
        <v>OK</v>
      </c>
      <c r="N1634" s="203">
        <f>L1634/ABS(K1634)</f>
        <v>1.9712273545914898</v>
      </c>
      <c r="O1634" s="296"/>
    </row>
    <row r="1635">
      <c r="A1635" s="187">
        <f>A1555</f>
        <v>101</v>
      </c>
      <c r="B1635" s="191">
        <f>INPUT!BB56</f>
        <v>-683.35517469674232</v>
      </c>
      <c r="C1635" s="191">
        <f>INPUT!BC56</f>
        <v>-0.91059939832501868</v>
      </c>
      <c r="D1635" s="191">
        <f>INPUT!BD56</f>
        <v>-1194.0301894616569</v>
      </c>
      <c r="E1635" s="184">
        <f>INPUT!CJ56</f>
        <v>-436.06870446189714</v>
      </c>
      <c r="F1635" s="184">
        <f>INPUT!CK56</f>
        <v>-314.94994178543857</v>
      </c>
      <c r="G1635" s="191">
        <f>INPUT!CM56</f>
        <v>-1081.62480290104</v>
      </c>
      <c r="H1635" s="191">
        <f>INPUT!CL56</f>
        <v>60.30276774327028</v>
      </c>
      <c r="I1635" s="191">
        <f>(1.25*(B1635+C1635+D1635+E1635)+1.5*F1635+1.8*IF(1.25*(B1635+C1635+D1635+E1635)+1.5*F1635&gt;=0,H1635,G1635))/2</f>
        <v>-2656.1526964616532</v>
      </c>
      <c r="J1635" s="192">
        <f>I1270*180/PI()</f>
        <v>7.16197243913529</v>
      </c>
      <c r="K1635" s="191">
        <f>I1635/COS(J1635*PI()/180)</f>
        <v>-2677.0398522290925</v>
      </c>
      <c r="L1635" s="191">
        <f>N1555</f>
        <v>5277.0541860455469</v>
      </c>
      <c r="M1635" s="201" t="str">
        <f>IF(ABS(K1635)&lt;=L1635,"OK","NG")</f>
        <v>OK</v>
      </c>
      <c r="N1635" s="203">
        <f>L1635/ABS(K1635)</f>
        <v>1.9712273545914898</v>
      </c>
      <c r="O1635" s="296"/>
    </row>
    <row r="1636">
      <c r="A1636" s="187">
        <f>A1556</f>
        <v>101</v>
      </c>
      <c r="B1636" s="191">
        <f>INPUT!BB57</f>
        <v>-683.35517469674232</v>
      </c>
      <c r="C1636" s="191">
        <f>INPUT!BC57</f>
        <v>-0.91059939832501868</v>
      </c>
      <c r="D1636" s="191">
        <f>INPUT!BD57</f>
        <v>-1194.0301894616569</v>
      </c>
      <c r="E1636" s="184">
        <f>INPUT!CJ57</f>
        <v>-436.06870446189714</v>
      </c>
      <c r="F1636" s="184">
        <f>INPUT!CK57</f>
        <v>-314.94994178543857</v>
      </c>
      <c r="G1636" s="191">
        <f>INPUT!CM57</f>
        <v>-1081.62480290104</v>
      </c>
      <c r="H1636" s="191">
        <f>INPUT!CL57</f>
        <v>60.30276774327028</v>
      </c>
      <c r="I1636" s="191">
        <f>(1.25*(B1636+C1636+D1636+E1636)+1.5*F1636+1.8*IF(1.25*(B1636+C1636+D1636+E1636)+1.5*F1636&gt;=0,H1636,G1636))/2</f>
        <v>-2656.1526964616532</v>
      </c>
      <c r="J1636" s="192">
        <f>I1271*180/PI()</f>
        <v>7.16197243913529</v>
      </c>
      <c r="K1636" s="191">
        <f>I1636/COS(J1636*PI()/180)</f>
        <v>-2677.0398522290925</v>
      </c>
      <c r="L1636" s="191">
        <f>N1556</f>
        <v>5277.0541860455469</v>
      </c>
      <c r="M1636" s="201" t="str">
        <f>IF(ABS(K1636)&lt;=L1636,"OK","NG")</f>
        <v>OK</v>
      </c>
      <c r="N1636" s="203">
        <f>L1636/ABS(K1636)</f>
        <v>1.9712273545914898</v>
      </c>
      <c r="O1636" s="296"/>
    </row>
    <row r="1637">
      <c r="A1637" s="187">
        <f>A1557</f>
        <v>101</v>
      </c>
      <c r="B1637" s="191">
        <f>INPUT!BB58</f>
        <v>-683.35517469674232</v>
      </c>
      <c r="C1637" s="191">
        <f>INPUT!BC58</f>
        <v>-0.91059939832501868</v>
      </c>
      <c r="D1637" s="191">
        <f>INPUT!BD58</f>
        <v>-1194.0301894616569</v>
      </c>
      <c r="E1637" s="184">
        <f>INPUT!CJ58</f>
        <v>-436.06870446189714</v>
      </c>
      <c r="F1637" s="184">
        <f>INPUT!CK58</f>
        <v>-314.94994178543857</v>
      </c>
      <c r="G1637" s="191">
        <f>INPUT!CM58</f>
        <v>-1081.62480290104</v>
      </c>
      <c r="H1637" s="191">
        <f>INPUT!CL58</f>
        <v>60.30276774327028</v>
      </c>
      <c r="I1637" s="191">
        <f>(1.25*(B1637+C1637+D1637+E1637)+1.5*F1637+1.8*IF(1.25*(B1637+C1637+D1637+E1637)+1.5*F1637&gt;=0,H1637,G1637))/2</f>
        <v>-2656.1526964616532</v>
      </c>
      <c r="J1637" s="192">
        <f>I1272*180/PI()</f>
        <v>7.16197243913529</v>
      </c>
      <c r="K1637" s="191">
        <f>I1637/COS(J1637*PI()/180)</f>
        <v>-2677.0398522290925</v>
      </c>
      <c r="L1637" s="191">
        <f>N1557</f>
        <v>5277.0541860455469</v>
      </c>
      <c r="M1637" s="201" t="str">
        <f>IF(ABS(K1637)&lt;=L1637,"OK","NG")</f>
        <v>OK</v>
      </c>
      <c r="N1637" s="203">
        <f>L1637/ABS(K1637)</f>
        <v>1.9712273545914898</v>
      </c>
      <c r="O1637" s="296"/>
    </row>
    <row r="1638">
      <c r="A1638" s="187">
        <f>A1558</f>
        <v>101</v>
      </c>
      <c r="B1638" s="191">
        <f>INPUT!BB59</f>
        <v>-683.35517469674232</v>
      </c>
      <c r="C1638" s="191">
        <f>INPUT!BC59</f>
        <v>-0.91059939832501868</v>
      </c>
      <c r="D1638" s="191">
        <f>INPUT!BD59</f>
        <v>-1194.0301894616569</v>
      </c>
      <c r="E1638" s="184">
        <f>INPUT!CJ59</f>
        <v>-436.06870446189714</v>
      </c>
      <c r="F1638" s="184">
        <f>INPUT!CK59</f>
        <v>-314.94994178543857</v>
      </c>
      <c r="G1638" s="191">
        <f>INPUT!CM59</f>
        <v>-1081.62480290104</v>
      </c>
      <c r="H1638" s="191">
        <f>INPUT!CL59</f>
        <v>60.30276774327028</v>
      </c>
      <c r="I1638" s="191">
        <f>(1.25*(B1638+C1638+D1638+E1638)+1.5*F1638+1.8*IF(1.25*(B1638+C1638+D1638+E1638)+1.5*F1638&gt;=0,H1638,G1638))/2</f>
        <v>-2656.1526964616532</v>
      </c>
      <c r="J1638" s="192">
        <f>I1273*180/PI()</f>
        <v>7.16197243913529</v>
      </c>
      <c r="K1638" s="191">
        <f>I1638/COS(J1638*PI()/180)</f>
        <v>-2677.0398522290925</v>
      </c>
      <c r="L1638" s="191">
        <f>N1558</f>
        <v>5277.0541860455469</v>
      </c>
      <c r="M1638" s="201" t="str">
        <f>IF(ABS(K1638)&lt;=L1638,"OK","NG")</f>
        <v>OK</v>
      </c>
      <c r="N1638" s="203">
        <f>L1638/ABS(K1638)</f>
        <v>1.9712273545914898</v>
      </c>
      <c r="O1638" s="296"/>
    </row>
    <row r="1639">
      <c r="A1639" s="187">
        <f>A1559</f>
        <v>101</v>
      </c>
      <c r="B1639" s="191">
        <f>INPUT!BB60</f>
        <v>-683.35517469674232</v>
      </c>
      <c r="C1639" s="191">
        <f>INPUT!BC60</f>
        <v>-0.91059939832501868</v>
      </c>
      <c r="D1639" s="191">
        <f>INPUT!BD60</f>
        <v>-1194.0301894616569</v>
      </c>
      <c r="E1639" s="184">
        <f>INPUT!CJ60</f>
        <v>-436.06870446189714</v>
      </c>
      <c r="F1639" s="184">
        <f>INPUT!CK60</f>
        <v>-314.94994178543857</v>
      </c>
      <c r="G1639" s="191">
        <f>INPUT!CM60</f>
        <v>-1081.62480290104</v>
      </c>
      <c r="H1639" s="191">
        <f>INPUT!CL60</f>
        <v>60.30276774327028</v>
      </c>
      <c r="I1639" s="191">
        <f>(1.25*(B1639+C1639+D1639+E1639)+1.5*F1639+1.8*IF(1.25*(B1639+C1639+D1639+E1639)+1.5*F1639&gt;=0,H1639,G1639))/2</f>
        <v>-2656.1526964616532</v>
      </c>
      <c r="J1639" s="192">
        <f>I1274*180/PI()</f>
        <v>7.16197243913529</v>
      </c>
      <c r="K1639" s="191">
        <f>I1639/COS(J1639*PI()/180)</f>
        <v>-2677.0398522290925</v>
      </c>
      <c r="L1639" s="191">
        <f>N1559</f>
        <v>5277.0541860455469</v>
      </c>
      <c r="M1639" s="201" t="str">
        <f>IF(ABS(K1639)&lt;=L1639,"OK","NG")</f>
        <v>OK</v>
      </c>
      <c r="N1639" s="203">
        <f>L1639/ABS(K1639)</f>
        <v>1.9712273545914898</v>
      </c>
      <c r="O1639" s="296"/>
    </row>
    <row r="1640">
      <c r="A1640" s="187">
        <f>A1560</f>
        <v>101</v>
      </c>
      <c r="B1640" s="191">
        <f>INPUT!BB61</f>
        <v>-683.35517469674232</v>
      </c>
      <c r="C1640" s="191">
        <f>INPUT!BC61</f>
        <v>-0.91059939832501868</v>
      </c>
      <c r="D1640" s="191">
        <f>INPUT!BD61</f>
        <v>-1194.0301894616569</v>
      </c>
      <c r="E1640" s="184">
        <f>INPUT!CJ61</f>
        <v>-436.06870446189714</v>
      </c>
      <c r="F1640" s="184">
        <f>INPUT!CK61</f>
        <v>-314.94994178543857</v>
      </c>
      <c r="G1640" s="191">
        <f>INPUT!CM61</f>
        <v>-1081.62480290104</v>
      </c>
      <c r="H1640" s="191">
        <f>INPUT!CL61</f>
        <v>60.30276774327028</v>
      </c>
      <c r="I1640" s="191">
        <f>(1.25*(B1640+C1640+D1640+E1640)+1.5*F1640+1.8*IF(1.25*(B1640+C1640+D1640+E1640)+1.5*F1640&gt;=0,H1640,G1640))/2</f>
        <v>-2656.1526964616532</v>
      </c>
      <c r="J1640" s="192">
        <f>I1275*180/PI()</f>
        <v>7.16197243913529</v>
      </c>
      <c r="K1640" s="191">
        <f>I1640/COS(J1640*PI()/180)</f>
        <v>-2677.0398522290925</v>
      </c>
      <c r="L1640" s="191">
        <f>N1560</f>
        <v>5277.0541860455469</v>
      </c>
      <c r="M1640" s="201" t="str">
        <f>IF(ABS(K1640)&lt;=L1640,"OK","NG")</f>
        <v>OK</v>
      </c>
      <c r="N1640" s="203">
        <f>L1640/ABS(K1640)</f>
        <v>1.9712273545914898</v>
      </c>
      <c r="O1640" s="296"/>
    </row>
    <row r="1641">
      <c r="A1641" s="187">
        <f>A1561</f>
        <v>101</v>
      </c>
      <c r="B1641" s="191">
        <f>INPUT!BB62</f>
        <v>-683.35517469674232</v>
      </c>
      <c r="C1641" s="191">
        <f>INPUT!BC62</f>
        <v>-0.91059939832501868</v>
      </c>
      <c r="D1641" s="191">
        <f>INPUT!BD62</f>
        <v>-1194.0301894616569</v>
      </c>
      <c r="E1641" s="184">
        <f>INPUT!CJ62</f>
        <v>-436.06870446189714</v>
      </c>
      <c r="F1641" s="184">
        <f>INPUT!CK62</f>
        <v>-314.94994178543857</v>
      </c>
      <c r="G1641" s="191">
        <f>INPUT!CM62</f>
        <v>-1081.62480290104</v>
      </c>
      <c r="H1641" s="191">
        <f>INPUT!CL62</f>
        <v>60.30276774327028</v>
      </c>
      <c r="I1641" s="191">
        <f>(1.25*(B1641+C1641+D1641+E1641)+1.5*F1641+1.8*IF(1.25*(B1641+C1641+D1641+E1641)+1.5*F1641&gt;=0,H1641,G1641))/2</f>
        <v>-2656.1526964616532</v>
      </c>
      <c r="J1641" s="192">
        <f>I1276*180/PI()</f>
        <v>7.16197243913529</v>
      </c>
      <c r="K1641" s="191">
        <f>I1641/COS(J1641*PI()/180)</f>
        <v>-2677.0398522290925</v>
      </c>
      <c r="L1641" s="191">
        <f>N1561</f>
        <v>5277.0541860455469</v>
      </c>
      <c r="M1641" s="201" t="str">
        <f>IF(ABS(K1641)&lt;=L1641,"OK","NG")</f>
        <v>OK</v>
      </c>
      <c r="N1641" s="203">
        <f>L1641/ABS(K1641)</f>
        <v>1.9712273545914898</v>
      </c>
      <c r="O1641" s="296"/>
    </row>
    <row r="1642">
      <c r="A1642" s="187">
        <f>A1562</f>
        <v>101</v>
      </c>
      <c r="B1642" s="191">
        <f>INPUT!BB63</f>
        <v>-683.35517469674232</v>
      </c>
      <c r="C1642" s="191">
        <f>INPUT!BC63</f>
        <v>-0.91059939832501868</v>
      </c>
      <c r="D1642" s="191">
        <f>INPUT!BD63</f>
        <v>-1194.0301894616569</v>
      </c>
      <c r="E1642" s="184">
        <f>INPUT!CJ63</f>
        <v>-436.06870446189714</v>
      </c>
      <c r="F1642" s="184">
        <f>INPUT!CK63</f>
        <v>-314.94994178543857</v>
      </c>
      <c r="G1642" s="191">
        <f>INPUT!CM63</f>
        <v>-1081.62480290104</v>
      </c>
      <c r="H1642" s="191">
        <f>INPUT!CL63</f>
        <v>60.30276774327028</v>
      </c>
      <c r="I1642" s="191">
        <f>(1.25*(B1642+C1642+D1642+E1642)+1.5*F1642+1.8*IF(1.25*(B1642+C1642+D1642+E1642)+1.5*F1642&gt;=0,H1642,G1642))/2</f>
        <v>-2656.1526964616532</v>
      </c>
      <c r="J1642" s="192">
        <f>I1277*180/PI()</f>
        <v>7.16197243913529</v>
      </c>
      <c r="K1642" s="191">
        <f>I1642/COS(J1642*PI()/180)</f>
        <v>-2677.0398522290925</v>
      </c>
      <c r="L1642" s="191">
        <f>N1562</f>
        <v>5277.0541860455469</v>
      </c>
      <c r="M1642" s="201" t="str">
        <f>IF(ABS(K1642)&lt;=L1642,"OK","NG")</f>
        <v>OK</v>
      </c>
      <c r="N1642" s="203">
        <f>L1642/ABS(K1642)</f>
        <v>1.9712273545914898</v>
      </c>
      <c r="O1642" s="296"/>
    </row>
    <row r="1643">
      <c r="A1643" s="187">
        <f>A1563</f>
        <v>101</v>
      </c>
      <c r="B1643" s="191">
        <f>INPUT!BB64</f>
        <v>-683.35517469674232</v>
      </c>
      <c r="C1643" s="191">
        <f>INPUT!BC64</f>
        <v>-0.91059939832501868</v>
      </c>
      <c r="D1643" s="191">
        <f>INPUT!BD64</f>
        <v>-1194.0301894616569</v>
      </c>
      <c r="E1643" s="184">
        <f>INPUT!CJ64</f>
        <v>-436.06870446189714</v>
      </c>
      <c r="F1643" s="184">
        <f>INPUT!CK64</f>
        <v>-314.94994178543857</v>
      </c>
      <c r="G1643" s="191">
        <f>INPUT!CM64</f>
        <v>-1081.62480290104</v>
      </c>
      <c r="H1643" s="191">
        <f>INPUT!CL64</f>
        <v>60.30276774327028</v>
      </c>
      <c r="I1643" s="191">
        <f>(1.25*(B1643+C1643+D1643+E1643)+1.5*F1643+1.8*IF(1.25*(B1643+C1643+D1643+E1643)+1.5*F1643&gt;=0,H1643,G1643))/2</f>
        <v>-2656.1526964616532</v>
      </c>
      <c r="J1643" s="192">
        <f>I1278*180/PI()</f>
        <v>7.16197243913529</v>
      </c>
      <c r="K1643" s="191">
        <f>I1643/COS(J1643*PI()/180)</f>
        <v>-2677.0398522290925</v>
      </c>
      <c r="L1643" s="191">
        <f>N1563</f>
        <v>5277.0541860455469</v>
      </c>
      <c r="M1643" s="201" t="str">
        <f>IF(ABS(K1643)&lt;=L1643,"OK","NG")</f>
        <v>OK</v>
      </c>
      <c r="N1643" s="203">
        <f>L1643/ABS(K1643)</f>
        <v>1.9712273545914898</v>
      </c>
      <c r="O1643" s="296"/>
    </row>
    <row r="1644">
      <c r="A1644" s="187">
        <f>A1564</f>
        <v>101</v>
      </c>
      <c r="B1644" s="191">
        <f>INPUT!BB65</f>
        <v>-683.35517469674232</v>
      </c>
      <c r="C1644" s="191">
        <f>INPUT!BC65</f>
        <v>-0.91059939832501868</v>
      </c>
      <c r="D1644" s="191">
        <f>INPUT!BD65</f>
        <v>-1194.0301894616569</v>
      </c>
      <c r="E1644" s="184">
        <f>INPUT!CJ65</f>
        <v>-436.06870446189714</v>
      </c>
      <c r="F1644" s="184">
        <f>INPUT!CK65</f>
        <v>-314.94994178543857</v>
      </c>
      <c r="G1644" s="191">
        <f>INPUT!CM65</f>
        <v>-1081.62480290104</v>
      </c>
      <c r="H1644" s="191">
        <f>INPUT!CL65</f>
        <v>60.30276774327028</v>
      </c>
      <c r="I1644" s="191">
        <f>(1.25*(B1644+C1644+D1644+E1644)+1.5*F1644+1.8*IF(1.25*(B1644+C1644+D1644+E1644)+1.5*F1644&gt;=0,H1644,G1644))/2</f>
        <v>-2656.1526964616532</v>
      </c>
      <c r="J1644" s="192">
        <f>I1279*180/PI()</f>
        <v>7.16197243913529</v>
      </c>
      <c r="K1644" s="191">
        <f>I1644/COS(J1644*PI()/180)</f>
        <v>-2677.0398522290925</v>
      </c>
      <c r="L1644" s="191">
        <f>N1564</f>
        <v>5277.0541860455469</v>
      </c>
      <c r="M1644" s="201" t="str">
        <f>IF(ABS(K1644)&lt;=L1644,"OK","NG")</f>
        <v>OK</v>
      </c>
      <c r="N1644" s="203">
        <f>L1644/ABS(K1644)</f>
        <v>1.9712273545914898</v>
      </c>
      <c r="O1644" s="296"/>
    </row>
    <row r="1645">
      <c r="A1645" s="187">
        <f>A1565</f>
        <v>101</v>
      </c>
      <c r="B1645" s="191">
        <f>INPUT!BB66</f>
        <v>-683.35517469674232</v>
      </c>
      <c r="C1645" s="191">
        <f>INPUT!BC66</f>
        <v>-0.91059939832501868</v>
      </c>
      <c r="D1645" s="191">
        <f>INPUT!BD66</f>
        <v>-1194.0301894616569</v>
      </c>
      <c r="E1645" s="184">
        <f>INPUT!CJ66</f>
        <v>-436.06870446189714</v>
      </c>
      <c r="F1645" s="184">
        <f>INPUT!CK66</f>
        <v>-314.94994178543857</v>
      </c>
      <c r="G1645" s="191">
        <f>INPUT!CM66</f>
        <v>-1081.62480290104</v>
      </c>
      <c r="H1645" s="191">
        <f>INPUT!CL66</f>
        <v>60.30276774327028</v>
      </c>
      <c r="I1645" s="191">
        <f>(1.25*(B1645+C1645+D1645+E1645)+1.5*F1645+1.8*IF(1.25*(B1645+C1645+D1645+E1645)+1.5*F1645&gt;=0,H1645,G1645))/2</f>
        <v>-2656.1526964616532</v>
      </c>
      <c r="J1645" s="192">
        <f>I1280*180/PI()</f>
        <v>7.16197243913529</v>
      </c>
      <c r="K1645" s="191">
        <f>I1645/COS(J1645*PI()/180)</f>
        <v>-2677.0398522290925</v>
      </c>
      <c r="L1645" s="191">
        <f>N1565</f>
        <v>5277.0541860455469</v>
      </c>
      <c r="M1645" s="201" t="str">
        <f>IF(ABS(K1645)&lt;=L1645,"OK","NG")</f>
        <v>OK</v>
      </c>
      <c r="N1645" s="203">
        <f>L1645/ABS(K1645)</f>
        <v>1.9712273545914898</v>
      </c>
      <c r="O1645" s="296"/>
    </row>
    <row r="1646">
      <c r="A1646" s="187">
        <f>A1566</f>
        <v>101</v>
      </c>
      <c r="B1646" s="191">
        <f>INPUT!BB67</f>
        <v>-683.35517469674232</v>
      </c>
      <c r="C1646" s="191">
        <f>INPUT!BC67</f>
        <v>-0.91059939832501868</v>
      </c>
      <c r="D1646" s="191">
        <f>INPUT!BD67</f>
        <v>-1194.0301894616569</v>
      </c>
      <c r="E1646" s="184">
        <f>INPUT!CJ67</f>
        <v>-436.06870446189714</v>
      </c>
      <c r="F1646" s="184">
        <f>INPUT!CK67</f>
        <v>-314.94994178543857</v>
      </c>
      <c r="G1646" s="191">
        <f>INPUT!CM67</f>
        <v>-1081.62480290104</v>
      </c>
      <c r="H1646" s="191">
        <f>INPUT!CL67</f>
        <v>60.30276774327028</v>
      </c>
      <c r="I1646" s="191">
        <f>(1.25*(B1646+C1646+D1646+E1646)+1.5*F1646+1.8*IF(1.25*(B1646+C1646+D1646+E1646)+1.5*F1646&gt;=0,H1646,G1646))/2</f>
        <v>-2656.1526964616532</v>
      </c>
      <c r="J1646" s="192">
        <f>I1281*180/PI()</f>
        <v>7.16197243913529</v>
      </c>
      <c r="K1646" s="191">
        <f>I1646/COS(J1646*PI()/180)</f>
        <v>-2677.0398522290925</v>
      </c>
      <c r="L1646" s="191">
        <f>N1566</f>
        <v>5277.0541860455469</v>
      </c>
      <c r="M1646" s="201" t="str">
        <f>IF(ABS(K1646)&lt;=L1646,"OK","NG")</f>
        <v>OK</v>
      </c>
      <c r="N1646" s="203">
        <f>L1646/ABS(K1646)</f>
        <v>1.9712273545914898</v>
      </c>
      <c r="O1646" s="296"/>
    </row>
    <row r="1647">
      <c r="A1647" s="187">
        <f>A1567</f>
        <v>101</v>
      </c>
      <c r="B1647" s="191">
        <f>INPUT!BB68</f>
        <v>-683.35517469674232</v>
      </c>
      <c r="C1647" s="191">
        <f>INPUT!BC68</f>
        <v>-0.91059939832501868</v>
      </c>
      <c r="D1647" s="191">
        <f>INPUT!BD68</f>
        <v>-1194.0301894616569</v>
      </c>
      <c r="E1647" s="184">
        <f>INPUT!CJ68</f>
        <v>-436.06870446189714</v>
      </c>
      <c r="F1647" s="184">
        <f>INPUT!CK68</f>
        <v>-314.94994178543857</v>
      </c>
      <c r="G1647" s="191">
        <f>INPUT!CM68</f>
        <v>-1081.62480290104</v>
      </c>
      <c r="H1647" s="191">
        <f>INPUT!CL68</f>
        <v>60.30276774327028</v>
      </c>
      <c r="I1647" s="191">
        <f>(1.25*(B1647+C1647+D1647+E1647)+1.5*F1647+1.8*IF(1.25*(B1647+C1647+D1647+E1647)+1.5*F1647&gt;=0,H1647,G1647))/2</f>
        <v>-2656.1526964616532</v>
      </c>
      <c r="J1647" s="192">
        <f>I1282*180/PI()</f>
        <v>7.16197243913529</v>
      </c>
      <c r="K1647" s="191">
        <f>I1647/COS(J1647*PI()/180)</f>
        <v>-2677.0398522290925</v>
      </c>
      <c r="L1647" s="191">
        <f>N1567</f>
        <v>5277.0541860455469</v>
      </c>
      <c r="M1647" s="201" t="str">
        <f>IF(ABS(K1647)&lt;=L1647,"OK","NG")</f>
        <v>OK</v>
      </c>
      <c r="N1647" s="203">
        <f>L1647/ABS(K1647)</f>
        <v>1.9712273545914898</v>
      </c>
      <c r="O1647" s="296"/>
    </row>
    <row r="1648">
      <c r="A1648" s="187">
        <f>A1568</f>
        <v>101</v>
      </c>
      <c r="B1648" s="191">
        <f>INPUT!BB69</f>
        <v>-683.35517469674232</v>
      </c>
      <c r="C1648" s="191">
        <f>INPUT!BC69</f>
        <v>-0.91059939832501868</v>
      </c>
      <c r="D1648" s="191">
        <f>INPUT!BD69</f>
        <v>-1194.0301894616569</v>
      </c>
      <c r="E1648" s="184">
        <f>INPUT!CJ69</f>
        <v>-436.06870446189714</v>
      </c>
      <c r="F1648" s="184">
        <f>INPUT!CK69</f>
        <v>-314.94994178543857</v>
      </c>
      <c r="G1648" s="191">
        <f>INPUT!CM69</f>
        <v>-1081.62480290104</v>
      </c>
      <c r="H1648" s="191">
        <f>INPUT!CL69</f>
        <v>60.30276774327028</v>
      </c>
      <c r="I1648" s="191">
        <f>(1.25*(B1648+C1648+D1648+E1648)+1.5*F1648+1.8*IF(1.25*(B1648+C1648+D1648+E1648)+1.5*F1648&gt;=0,H1648,G1648))/2</f>
        <v>-2656.1526964616532</v>
      </c>
      <c r="J1648" s="192">
        <f>I1283*180/PI()</f>
        <v>7.16197243913529</v>
      </c>
      <c r="K1648" s="191">
        <f>I1648/COS(J1648*PI()/180)</f>
        <v>-2677.0398522290925</v>
      </c>
      <c r="L1648" s="191">
        <f>N1568</f>
        <v>5277.0541860455469</v>
      </c>
      <c r="M1648" s="201" t="str">
        <f>IF(ABS(K1648)&lt;=L1648,"OK","NG")</f>
        <v>OK</v>
      </c>
      <c r="N1648" s="203">
        <f>L1648/ABS(K1648)</f>
        <v>1.9712273545914898</v>
      </c>
      <c r="O1648" s="296"/>
    </row>
    <row r="1649">
      <c r="A1649" s="187">
        <f>A1569</f>
        <v>101</v>
      </c>
      <c r="B1649" s="191">
        <f>INPUT!BB70</f>
        <v>-683.35517469674232</v>
      </c>
      <c r="C1649" s="191">
        <f>INPUT!BC70</f>
        <v>-0.91059939832501868</v>
      </c>
      <c r="D1649" s="191">
        <f>INPUT!BD70</f>
        <v>-1194.0301894616569</v>
      </c>
      <c r="E1649" s="184">
        <f>INPUT!CJ70</f>
        <v>-436.06870446189714</v>
      </c>
      <c r="F1649" s="184">
        <f>INPUT!CK70</f>
        <v>-314.94994178543857</v>
      </c>
      <c r="G1649" s="191">
        <f>INPUT!CM70</f>
        <v>-1081.62480290104</v>
      </c>
      <c r="H1649" s="191">
        <f>INPUT!CL70</f>
        <v>60.30276774327028</v>
      </c>
      <c r="I1649" s="191">
        <f>(1.25*(B1649+C1649+D1649+E1649)+1.5*F1649+1.8*IF(1.25*(B1649+C1649+D1649+E1649)+1.5*F1649&gt;=0,H1649,G1649))/2</f>
        <v>-2656.1526964616532</v>
      </c>
      <c r="J1649" s="192">
        <f>I1284*180/PI()</f>
        <v>7.16197243913529</v>
      </c>
      <c r="K1649" s="191">
        <f>I1649/COS(J1649*PI()/180)</f>
        <v>-2677.0398522290925</v>
      </c>
      <c r="L1649" s="191">
        <f>N1569</f>
        <v>5277.0541860455469</v>
      </c>
      <c r="M1649" s="201" t="str">
        <f>IF(ABS(K1649)&lt;=L1649,"OK","NG")</f>
        <v>OK</v>
      </c>
      <c r="N1649" s="203">
        <f>L1649/ABS(K1649)</f>
        <v>1.9712273545914898</v>
      </c>
      <c r="O1649" s="296"/>
    </row>
    <row r="1650">
      <c r="A1650" s="187">
        <f>A1570</f>
        <v>101</v>
      </c>
      <c r="B1650" s="191">
        <f>INPUT!BB71</f>
        <v>-683.35517469674232</v>
      </c>
      <c r="C1650" s="191">
        <f>INPUT!BC71</f>
        <v>-0.91059939832501868</v>
      </c>
      <c r="D1650" s="191">
        <f>INPUT!BD71</f>
        <v>-1194.0301894616569</v>
      </c>
      <c r="E1650" s="184">
        <f>INPUT!CJ71</f>
        <v>-436.06870446189714</v>
      </c>
      <c r="F1650" s="184">
        <f>INPUT!CK71</f>
        <v>-314.94994178543857</v>
      </c>
      <c r="G1650" s="191">
        <f>INPUT!CM71</f>
        <v>-1081.62480290104</v>
      </c>
      <c r="H1650" s="191">
        <f>INPUT!CL71</f>
        <v>60.30276774327028</v>
      </c>
      <c r="I1650" s="191">
        <f>(1.25*(B1650+C1650+D1650+E1650)+1.5*F1650+1.8*IF(1.25*(B1650+C1650+D1650+E1650)+1.5*F1650&gt;=0,H1650,G1650))/2</f>
        <v>-2656.1526964616532</v>
      </c>
      <c r="J1650" s="192">
        <f>I1285*180/PI()</f>
        <v>7.16197243913529</v>
      </c>
      <c r="K1650" s="191">
        <f>I1650/COS(J1650*PI()/180)</f>
        <v>-2677.0398522290925</v>
      </c>
      <c r="L1650" s="191">
        <f>N1570</f>
        <v>5277.0541860455469</v>
      </c>
      <c r="M1650" s="201" t="str">
        <f>IF(ABS(K1650)&lt;=L1650,"OK","NG")</f>
        <v>OK</v>
      </c>
      <c r="N1650" s="203">
        <f>L1650/ABS(K1650)</f>
        <v>1.9712273545914898</v>
      </c>
      <c r="O1650" s="296"/>
    </row>
    <row r="1651">
      <c r="A1651" s="187">
        <f>A1571</f>
        <v>101</v>
      </c>
      <c r="B1651" s="191">
        <f>INPUT!BB72</f>
        <v>-683.35517469674232</v>
      </c>
      <c r="C1651" s="191">
        <f>INPUT!BC72</f>
        <v>-0.91059939832501868</v>
      </c>
      <c r="D1651" s="191">
        <f>INPUT!BD72</f>
        <v>-1194.0301894616569</v>
      </c>
      <c r="E1651" s="184">
        <f>INPUT!CJ72</f>
        <v>-436.06870446189714</v>
      </c>
      <c r="F1651" s="184">
        <f>INPUT!CK72</f>
        <v>-314.94994178543857</v>
      </c>
      <c r="G1651" s="191">
        <f>INPUT!CM72</f>
        <v>-1081.62480290104</v>
      </c>
      <c r="H1651" s="191">
        <f>INPUT!CL72</f>
        <v>60.30276774327028</v>
      </c>
      <c r="I1651" s="191">
        <f>(1.25*(B1651+C1651+D1651+E1651)+1.5*F1651+1.8*IF(1.25*(B1651+C1651+D1651+E1651)+1.5*F1651&gt;=0,H1651,G1651))/2</f>
        <v>-2656.1526964616532</v>
      </c>
      <c r="J1651" s="192">
        <f>I1286*180/PI()</f>
        <v>7.16197243913529</v>
      </c>
      <c r="K1651" s="191">
        <f>I1651/COS(J1651*PI()/180)</f>
        <v>-2677.0398522290925</v>
      </c>
      <c r="L1651" s="191">
        <f>N1571</f>
        <v>5277.0541860455469</v>
      </c>
      <c r="M1651" s="201" t="str">
        <f>IF(ABS(K1651)&lt;=L1651,"OK","NG")</f>
        <v>OK</v>
      </c>
      <c r="N1651" s="203">
        <f>L1651/ABS(K1651)</f>
        <v>1.9712273545914898</v>
      </c>
      <c r="O1651" s="296"/>
    </row>
    <row r="1652">
      <c r="A1652" s="187">
        <f>A1572</f>
        <v>101</v>
      </c>
      <c r="B1652" s="191">
        <f>INPUT!BB73</f>
        <v>-683.35517469674232</v>
      </c>
      <c r="C1652" s="191">
        <f>INPUT!BC73</f>
        <v>-0.91059939832501868</v>
      </c>
      <c r="D1652" s="191">
        <f>INPUT!BD73</f>
        <v>-1194.0301894616569</v>
      </c>
      <c r="E1652" s="184">
        <f>INPUT!CJ73</f>
        <v>-436.06870446189714</v>
      </c>
      <c r="F1652" s="184">
        <f>INPUT!CK73</f>
        <v>-314.94994178543857</v>
      </c>
      <c r="G1652" s="191">
        <f>INPUT!CM73</f>
        <v>-1081.62480290104</v>
      </c>
      <c r="H1652" s="191">
        <f>INPUT!CL73</f>
        <v>60.30276774327028</v>
      </c>
      <c r="I1652" s="191">
        <f>(1.25*(B1652+C1652+D1652+E1652)+1.5*F1652+1.8*IF(1.25*(B1652+C1652+D1652+E1652)+1.5*F1652&gt;=0,H1652,G1652))/2</f>
        <v>-2656.1526964616532</v>
      </c>
      <c r="J1652" s="192">
        <f>I1287*180/PI()</f>
        <v>7.16197243913529</v>
      </c>
      <c r="K1652" s="191">
        <f>I1652/COS(J1652*PI()/180)</f>
        <v>-2677.0398522290925</v>
      </c>
      <c r="L1652" s="191">
        <f>N1572</f>
        <v>5277.0541860455469</v>
      </c>
      <c r="M1652" s="201" t="str">
        <f>IF(ABS(K1652)&lt;=L1652,"OK","NG")</f>
        <v>OK</v>
      </c>
      <c r="N1652" s="203">
        <f>L1652/ABS(K1652)</f>
        <v>1.9712273545914898</v>
      </c>
      <c r="O1652" s="296"/>
    </row>
    <row r="1653">
      <c r="A1653" s="187">
        <f>A1573</f>
        <v>101</v>
      </c>
      <c r="B1653" s="191">
        <f>INPUT!BB74</f>
        <v>-683.35517469674232</v>
      </c>
      <c r="C1653" s="191">
        <f>INPUT!BC74</f>
        <v>-0.91059939832501868</v>
      </c>
      <c r="D1653" s="191">
        <f>INPUT!BD74</f>
        <v>-1194.0301894616569</v>
      </c>
      <c r="E1653" s="184">
        <f>INPUT!CJ74</f>
        <v>-436.06870446189714</v>
      </c>
      <c r="F1653" s="184">
        <f>INPUT!CK74</f>
        <v>-314.94994178543857</v>
      </c>
      <c r="G1653" s="191">
        <f>INPUT!CM74</f>
        <v>-1081.62480290104</v>
      </c>
      <c r="H1653" s="191">
        <f>INPUT!CL74</f>
        <v>60.30276774327028</v>
      </c>
      <c r="I1653" s="191">
        <f>(1.25*(B1653+C1653+D1653+E1653)+1.5*F1653+1.8*IF(1.25*(B1653+C1653+D1653+E1653)+1.5*F1653&gt;=0,H1653,G1653))/2</f>
        <v>-2656.1526964616532</v>
      </c>
      <c r="J1653" s="192">
        <f>I1288*180/PI()</f>
        <v>7.16197243913529</v>
      </c>
      <c r="K1653" s="191">
        <f>I1653/COS(J1653*PI()/180)</f>
        <v>-2677.0398522290925</v>
      </c>
      <c r="L1653" s="191">
        <f>N1573</f>
        <v>5277.0541860455469</v>
      </c>
      <c r="M1653" s="201" t="str">
        <f>IF(ABS(K1653)&lt;=L1653,"OK","NG")</f>
        <v>OK</v>
      </c>
      <c r="N1653" s="203">
        <f>L1653/ABS(K1653)</f>
        <v>1.9712273545914898</v>
      </c>
      <c r="O1653" s="296"/>
    </row>
    <row r="1654">
      <c r="A1654" s="187">
        <f>A1574</f>
        <v>101</v>
      </c>
      <c r="B1654" s="191">
        <f>INPUT!BB75</f>
        <v>-683.35517469674232</v>
      </c>
      <c r="C1654" s="191">
        <f>INPUT!BC75</f>
        <v>-0.91059939832501868</v>
      </c>
      <c r="D1654" s="191">
        <f>INPUT!BD75</f>
        <v>-1194.0301894616569</v>
      </c>
      <c r="E1654" s="184">
        <f>INPUT!CJ75</f>
        <v>-436.06870446189714</v>
      </c>
      <c r="F1654" s="184">
        <f>INPUT!CK75</f>
        <v>-314.94994178543857</v>
      </c>
      <c r="G1654" s="191">
        <f>INPUT!CM75</f>
        <v>-1081.62480290104</v>
      </c>
      <c r="H1654" s="191">
        <f>INPUT!CL75</f>
        <v>60.30276774327028</v>
      </c>
      <c r="I1654" s="191">
        <f>(1.25*(B1654+C1654+D1654+E1654)+1.5*F1654+1.8*IF(1.25*(B1654+C1654+D1654+E1654)+1.5*F1654&gt;=0,H1654,G1654))/2</f>
        <v>-2656.1526964616532</v>
      </c>
      <c r="J1654" s="192">
        <f>I1289*180/PI()</f>
        <v>7.16197243913529</v>
      </c>
      <c r="K1654" s="191">
        <f>I1654/COS(J1654*PI()/180)</f>
        <v>-2677.0398522290925</v>
      </c>
      <c r="L1654" s="191">
        <f>N1574</f>
        <v>5277.0541860455469</v>
      </c>
      <c r="M1654" s="201" t="str">
        <f>IF(ABS(K1654)&lt;=L1654,"OK","NG")</f>
        <v>OK</v>
      </c>
      <c r="N1654" s="203">
        <f>L1654/ABS(K1654)</f>
        <v>1.9712273545914898</v>
      </c>
      <c r="O1654" s="296"/>
    </row>
    <row r="1655">
      <c r="A1655" s="187">
        <f>A1575</f>
        <v>101</v>
      </c>
      <c r="B1655" s="191">
        <f>INPUT!BB76</f>
        <v>-683.35517469674232</v>
      </c>
      <c r="C1655" s="191">
        <f>INPUT!BC76</f>
        <v>-0.91059939832501868</v>
      </c>
      <c r="D1655" s="191">
        <f>INPUT!BD76</f>
        <v>-1194.0301894616569</v>
      </c>
      <c r="E1655" s="184">
        <f>INPUT!CJ76</f>
        <v>-436.06870446189714</v>
      </c>
      <c r="F1655" s="184">
        <f>INPUT!CK76</f>
        <v>-314.94994178543857</v>
      </c>
      <c r="G1655" s="191">
        <f>INPUT!CM76</f>
        <v>-1081.62480290104</v>
      </c>
      <c r="H1655" s="191">
        <f>INPUT!CL76</f>
        <v>60.30276774327028</v>
      </c>
      <c r="I1655" s="191">
        <f>(1.25*(B1655+C1655+D1655+E1655)+1.5*F1655+1.8*IF(1.25*(B1655+C1655+D1655+E1655)+1.5*F1655&gt;=0,H1655,G1655))/2</f>
        <v>-2656.1526964616532</v>
      </c>
      <c r="J1655" s="192">
        <f>I1290*180/PI()</f>
        <v>7.16197243913529</v>
      </c>
      <c r="K1655" s="191">
        <f>I1655/COS(J1655*PI()/180)</f>
        <v>-2677.0398522290925</v>
      </c>
      <c r="L1655" s="191">
        <f>N1575</f>
        <v>5277.0541860455469</v>
      </c>
      <c r="M1655" s="201" t="str">
        <f>IF(ABS(K1655)&lt;=L1655,"OK","NG")</f>
        <v>OK</v>
      </c>
      <c r="N1655" s="203">
        <f>L1655/ABS(K1655)</f>
        <v>1.9712273545914898</v>
      </c>
      <c r="O1655" s="296"/>
    </row>
    <row r="1656">
      <c r="A1656" s="187">
        <f>A1576</f>
        <v>101</v>
      </c>
      <c r="B1656" s="191">
        <f>INPUT!BB77</f>
        <v>-683.35517469674232</v>
      </c>
      <c r="C1656" s="191">
        <f>INPUT!BC77</f>
        <v>-0.91059939832501868</v>
      </c>
      <c r="D1656" s="191">
        <f>INPUT!BD77</f>
        <v>-1194.0301894616569</v>
      </c>
      <c r="E1656" s="184">
        <f>INPUT!CJ77</f>
        <v>-436.06870446189714</v>
      </c>
      <c r="F1656" s="184">
        <f>INPUT!CK77</f>
        <v>-314.94994178543857</v>
      </c>
      <c r="G1656" s="191">
        <f>INPUT!CM77</f>
        <v>-1081.62480290104</v>
      </c>
      <c r="H1656" s="191">
        <f>INPUT!CL77</f>
        <v>60.30276774327028</v>
      </c>
      <c r="I1656" s="191">
        <f>(1.25*(B1656+C1656+D1656+E1656)+1.5*F1656+1.8*IF(1.25*(B1656+C1656+D1656+E1656)+1.5*F1656&gt;=0,H1656,G1656))/2</f>
        <v>-2656.1526964616532</v>
      </c>
      <c r="J1656" s="192">
        <f>I1291*180/PI()</f>
        <v>7.16197243913529</v>
      </c>
      <c r="K1656" s="191">
        <f>I1656/COS(J1656*PI()/180)</f>
        <v>-2677.0398522290925</v>
      </c>
      <c r="L1656" s="191">
        <f>N1576</f>
        <v>5277.0541860455469</v>
      </c>
      <c r="M1656" s="201" t="str">
        <f>IF(ABS(K1656)&lt;=L1656,"OK","NG")</f>
        <v>OK</v>
      </c>
      <c r="N1656" s="203">
        <f>L1656/ABS(K1656)</f>
        <v>1.9712273545914898</v>
      </c>
      <c r="O1656" s="296"/>
    </row>
    <row r="1657">
      <c r="A1657" s="187">
        <f>A1577</f>
        <v>101</v>
      </c>
      <c r="B1657" s="191">
        <f>INPUT!BB78</f>
        <v>-683.35517469674232</v>
      </c>
      <c r="C1657" s="191">
        <f>INPUT!BC78</f>
        <v>-0.91059939832501868</v>
      </c>
      <c r="D1657" s="191">
        <f>INPUT!BD78</f>
        <v>-1194.0301894616569</v>
      </c>
      <c r="E1657" s="184">
        <f>INPUT!CJ78</f>
        <v>-436.06870446189714</v>
      </c>
      <c r="F1657" s="184">
        <f>INPUT!CK78</f>
        <v>-314.94994178543857</v>
      </c>
      <c r="G1657" s="191">
        <f>INPUT!CM78</f>
        <v>-1081.62480290104</v>
      </c>
      <c r="H1657" s="191">
        <f>INPUT!CL78</f>
        <v>60.30276774327028</v>
      </c>
      <c r="I1657" s="191">
        <f>(1.25*(B1657+C1657+D1657+E1657)+1.5*F1657+1.8*IF(1.25*(B1657+C1657+D1657+E1657)+1.5*F1657&gt;=0,H1657,G1657))/2</f>
        <v>-2656.1526964616532</v>
      </c>
      <c r="J1657" s="192">
        <f>I1292*180/PI()</f>
        <v>7.16197243913529</v>
      </c>
      <c r="K1657" s="191">
        <f>I1657/COS(J1657*PI()/180)</f>
        <v>-2677.0398522290925</v>
      </c>
      <c r="L1657" s="191">
        <f>N1577</f>
        <v>5277.0541860455469</v>
      </c>
      <c r="M1657" s="201" t="str">
        <f>IF(ABS(K1657)&lt;=L1657,"OK","NG")</f>
        <v>OK</v>
      </c>
      <c r="N1657" s="203">
        <f>L1657/ABS(K1657)</f>
        <v>1.9712273545914898</v>
      </c>
      <c r="O1657" s="296"/>
    </row>
    <row r="1658" ht="15" customHeight="1">
      <c r="N1658" s="321"/>
      <c r="O1658" s="296"/>
    </row>
  </sheetData>
  <mergeCells>
    <mergeCell ref="D1383:E1383"/>
    <mergeCell ref="E1303:H1303"/>
    <mergeCell ref="L1304:M1304"/>
    <mergeCell ref="B1298:E1298"/>
    <mergeCell ref="F1298:I1298"/>
    <mergeCell ref="J1298:M1298"/>
    <mergeCell ref="B1299:E1299"/>
    <mergeCell ref="F1299:I1299"/>
    <mergeCell ref="J1299:M1299"/>
    <mergeCell ref="E1304:F1304"/>
    <mergeCell ref="G1304:H1304"/>
    <mergeCell ref="J1303:M1303"/>
    <mergeCell ref="J1304:K1304"/>
    <mergeCell ref="B1296:I1296"/>
    <mergeCell ref="J1296:M1297"/>
    <mergeCell ref="B1297:E1297"/>
    <mergeCell ref="F1297:I1297"/>
    <mergeCell ref="N737:N738"/>
    <mergeCell ref="D737:E738"/>
    <mergeCell ref="B815:D815"/>
    <mergeCell ref="E815:G815"/>
    <mergeCell ref="H815:J815"/>
    <mergeCell ref="B895:H895"/>
    <mergeCell ref="B975:F975"/>
    <mergeCell ref="H975:I975"/>
    <mergeCell ref="D1135:F1135"/>
    <mergeCell ref="H1135:L1135"/>
    <mergeCell ref="L1215:M1215"/>
    <mergeCell ref="B654:E654"/>
    <mergeCell ref="F654:I654"/>
    <mergeCell ref="J654:M654"/>
    <mergeCell ref="I704:L704"/>
    <mergeCell ref="C772:E773"/>
    <mergeCell ref="I665:L666"/>
    <mergeCell ref="J651:M652"/>
    <mergeCell ref="B652:E652"/>
    <mergeCell ref="F652:I652"/>
    <mergeCell ref="B653:E653"/>
    <mergeCell ref="F653:I653"/>
    <mergeCell ref="J653:M653"/>
    <mergeCell ref="G565:H565"/>
    <mergeCell ref="I565:J565"/>
    <mergeCell ref="C566:D566"/>
    <mergeCell ref="E566:F566"/>
    <mergeCell ref="G566:H566"/>
    <mergeCell ref="I566:J566"/>
    <mergeCell ref="B555:B556"/>
    <mergeCell ref="B557:B558"/>
    <mergeCell ref="E557:E558"/>
    <mergeCell ref="C565:D565"/>
    <mergeCell ref="E565:F565"/>
    <mergeCell ref="C563:D564"/>
    <mergeCell ref="A164:A165"/>
    <mergeCell ref="A174:A175"/>
    <mergeCell ref="A181:A182"/>
    <mergeCell ref="A189:A190"/>
    <mergeCell ref="B371:E371"/>
    <mergeCell ref="B1580:I1580"/>
    <mergeCell ref="G371:J371"/>
    <mergeCell ref="C472:E472"/>
    <mergeCell ref="F472:K472"/>
    <mergeCell ref="B651:I651"/>
    <mergeCell ref="B1500:F1500"/>
    <mergeCell ref="J1500:M1500"/>
    <mergeCell ref="E563:F563"/>
    <mergeCell ref="G563:H563"/>
    <mergeCell ref="I563:J563"/>
    <mergeCell ref="E564:F564"/>
    <mergeCell ref="G564:H564"/>
    <mergeCell ref="B569:F569"/>
    <mergeCell ref="G569:I569"/>
    <mergeCell ref="J569:K569"/>
    <mergeCell ref="L569:M569"/>
  </mergeCells>
  <phoneticPr fontId="28" type="noConversion"/>
  <conditionalFormatting sqref="M249">
    <cfRule type="containsText" dxfId="0" priority="8" operator="containsText" text="NG">
      <formula>NOT(ISERROR(SEARCH("NG",M249)))</formula>
    </cfRule>
  </conditionalFormatting>
  <conditionalFormatting sqref="L271:M271">
    <cfRule type="containsText" dxfId="0" priority="7" operator="containsText" text="NG">
      <formula>NOT(ISERROR(SEARCH("NG",L271)))</formula>
    </cfRule>
  </conditionalFormatting>
  <conditionalFormatting sqref="E480">
    <cfRule type="containsText" dxfId="0" priority="6" operator="containsText" text="NG">
      <formula>NOT(ISERROR(SEARCH("NG",E480)))</formula>
    </cfRule>
  </conditionalFormatting>
  <conditionalFormatting sqref="G480">
    <cfRule type="containsText" dxfId="0" priority="5" operator="containsText" text="NG">
      <formula>NOT(ISERROR(SEARCH("NG",G480)))</formula>
    </cfRule>
  </conditionalFormatting>
  <conditionalFormatting sqref="J480">
    <cfRule type="containsText" dxfId="0" priority="4" operator="containsText" text="NG">
      <formula>NOT(ISERROR(SEARCH("NG",J480)))</formula>
    </cfRule>
  </conditionalFormatting>
  <conditionalFormatting sqref="L480">
    <cfRule type="containsText" dxfId="0" priority="3" operator="containsText" text="NG">
      <formula>NOT(ISERROR(SEARCH("NG",L480)))</formula>
    </cfRule>
  </conditionalFormatting>
  <conditionalFormatting sqref="D485">
    <cfRule type="containsText" dxfId="0" priority="2" operator="containsText" text="NG">
      <formula>NOT(ISERROR(SEARCH("NG",D485)))</formula>
    </cfRule>
  </conditionalFormatting>
  <conditionalFormatting sqref="M532">
    <cfRule type="containsText" dxfId="0" priority="1" operator="containsText" text="NG">
      <formula>NOT(ISERROR(SEARCH("NG",M532)))</formula>
    </cfRule>
  </conditionalFormatting>
  <pageMargins left="0.6" right="0.4" top="1" bottom="1" header="0.31496062992126" footer="0.31496062992126"/>
  <pageSetup paperSize="9" orientation="portrait"/>
  <headerFooter/>
  <rowBreaks count="23" manualBreakCount="23">
    <brk id="37" max="1048575" man="1"/>
    <brk id="80" max="1048575" man="1"/>
    <brk id="158" max="1048575" man="1"/>
    <brk id="195" max="1048575" man="1"/>
    <brk id="276" max="1048575" man="1"/>
    <brk id="289" max="1048575" man="1"/>
    <brk id="369" max="1048575" man="1"/>
    <brk id="450" max="1048575" man="1"/>
    <brk id="470" max="1048575" man="1"/>
    <brk id="551" max="1048575" man="1"/>
    <brk id="567" max="1048575" man="1"/>
    <brk id="648" max="1048575" man="1"/>
    <brk id="775" max="1048575" man="1"/>
    <brk id="813" max="1048575" man="1"/>
    <brk id="893" max="1048575" man="1"/>
    <brk id="973" max="1048575" man="1"/>
    <brk id="1053" max="1048575" man="1"/>
    <brk id="1133" max="1048575" man="1"/>
    <brk id="1213" max="1048575" man="1"/>
    <brk id="1293" max="1048575" man="1"/>
    <brk id="1461" max="1048575" man="1"/>
    <brk id="1498" max="1048575" man="1"/>
    <brk id="1578" max="1048575" man="1"/>
  </rowBreaks>
  <colBreaks count="1" manualBreakCount="1">
    <brk id="15" max="16383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E1E3-8C3B-42CD-911D-B0C53CCEA810}">
  <dimension ref="A1:AQ343"/>
  <sheetViews>
    <sheetView showGridLines="0" topLeftCell="A94" zoomScaleNormal="100" zoomScaleSheetLayoutView="100" workbookViewId="0">
      <selection activeCell="N124" sqref="N124"/>
    </sheetView>
  </sheetViews>
  <sheetFormatPr defaultRowHeight="15" customHeight="1"/>
  <cols>
    <col min="1" max="1" width="6.5703125" customWidth="1"/>
    <col min="2" max="2" width="6.5703125" customWidth="1"/>
    <col min="3" max="3" width="6.5703125" customWidth="1"/>
    <col min="4" max="4" width="6.5703125" customWidth="1"/>
    <col min="5" max="5" width="6.5703125" customWidth="1"/>
    <col min="6" max="6" width="6.5703125" customWidth="1"/>
    <col min="7" max="7" width="6.5703125" customWidth="1"/>
    <col min="8" max="8" width="6.5703125" customWidth="1"/>
    <col min="9" max="9" width="6.5703125" customWidth="1"/>
    <col min="10" max="10" width="6.5703125" customWidth="1"/>
    <col min="11" max="11" width="6.5703125" customWidth="1"/>
    <col min="12" max="13" width="6.5703125" customWidth="1"/>
    <col min="14" max="14" width="6.5703125" customWidth="1" style="67"/>
    <col min="15" max="15" width="5.7109375" customWidth="1" style="305"/>
    <col min="16" max="16" width="9" customWidth="1" style="366"/>
  </cols>
  <sheetData>
    <row r="1" ht="1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372"/>
      <c r="M1" s="4"/>
      <c r="N1" s="64"/>
      <c r="O1" s="296"/>
    </row>
    <row r="2" ht="15" customHeight="1">
      <c r="A2" s="6"/>
      <c r="B2" s="7">
        <v>7</v>
      </c>
      <c r="C2" s="167" t="s">
        <v>134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296"/>
    </row>
    <row r="3" ht="15" customHeight="1">
      <c r="A3" s="8"/>
      <c r="B3" s="9"/>
      <c r="C3" s="9"/>
      <c r="D3" s="4"/>
      <c r="E3" s="4"/>
      <c r="F3" s="4"/>
      <c r="G3" s="4"/>
      <c r="H3" s="4"/>
      <c r="I3" s="4"/>
      <c r="J3" s="4"/>
      <c r="K3" s="4"/>
      <c r="L3" s="4"/>
      <c r="M3" s="4"/>
      <c r="N3" s="65"/>
      <c r="O3" s="383"/>
    </row>
    <row r="4" ht="15" customHeight="1">
      <c r="A4" s="10" t="s">
        <v>1001</v>
      </c>
      <c r="B4" s="4"/>
      <c r="C4" s="4"/>
      <c r="D4" s="4"/>
      <c r="E4" s="4"/>
      <c r="F4" s="4"/>
      <c r="G4" s="4"/>
      <c r="H4" s="4"/>
      <c r="I4" s="4"/>
      <c r="J4" s="4"/>
      <c r="K4" s="4"/>
      <c r="L4" s="372"/>
      <c r="M4" s="4"/>
      <c r="N4" s="65"/>
      <c r="O4" s="384"/>
    </row>
    <row r="5" ht="15" customHeight="1">
      <c r="A5" s="11"/>
      <c r="B5" s="4"/>
      <c r="C5" s="4"/>
      <c r="D5" s="4"/>
      <c r="E5" s="4"/>
      <c r="F5" s="12"/>
      <c r="G5" s="13"/>
      <c r="H5" s="4"/>
      <c r="I5" s="4"/>
      <c r="J5" s="4"/>
      <c r="K5" s="4"/>
      <c r="L5" s="372"/>
      <c r="M5" s="4"/>
      <c r="N5" s="65"/>
      <c r="O5" s="383"/>
    </row>
    <row r="6" ht="15" customHeight="1">
      <c r="A6" s="14"/>
      <c r="B6" s="15" t="s">
        <v>1002</v>
      </c>
      <c r="C6" s="16"/>
      <c r="D6" s="16"/>
      <c r="E6" s="16"/>
      <c r="F6" s="16"/>
      <c r="G6" s="16"/>
      <c r="H6" s="16"/>
      <c r="I6" s="16"/>
      <c r="J6" s="16"/>
      <c r="K6" s="16"/>
      <c r="L6" s="17"/>
      <c r="M6" s="4"/>
      <c r="N6" s="65"/>
      <c r="O6" s="383"/>
    </row>
    <row r="7" ht="15" customHeight="1">
      <c r="A7" s="14"/>
      <c r="B7" s="18"/>
      <c r="C7" s="4"/>
      <c r="D7" s="4"/>
      <c r="E7" s="4"/>
      <c r="F7" s="19" t="s">
        <v>1003</v>
      </c>
      <c r="G7" s="4"/>
      <c r="H7" s="4"/>
      <c r="I7" s="4"/>
      <c r="J7" s="4"/>
      <c r="K7" s="4"/>
      <c r="L7" s="20"/>
      <c r="M7" s="4"/>
      <c r="N7" s="68" t="s">
        <v>1004</v>
      </c>
    </row>
    <row r="8" ht="15" customHeight="1" s="366" customFormat="1">
      <c r="A8" s="14"/>
      <c r="B8" s="18"/>
      <c r="C8" s="395"/>
      <c r="D8" s="80"/>
      <c r="E8" s="80"/>
      <c r="F8" s="81"/>
      <c r="G8" s="80"/>
      <c r="H8" s="80"/>
      <c r="I8" s="80"/>
      <c r="J8" s="80"/>
      <c r="K8" s="80"/>
      <c r="L8" s="27"/>
      <c r="M8" s="4"/>
      <c r="N8" s="69"/>
      <c r="O8" s="305"/>
    </row>
    <row r="9" ht="15" customHeight="1" s="366" customFormat="1">
      <c r="A9" s="14"/>
      <c r="B9" s="21"/>
      <c r="C9" s="394"/>
      <c r="D9" s="22"/>
      <c r="E9" s="22"/>
      <c r="F9" s="23"/>
      <c r="G9" s="22"/>
      <c r="H9" s="22"/>
      <c r="I9" s="22"/>
      <c r="J9" s="22"/>
      <c r="K9" s="22"/>
      <c r="L9" s="24"/>
      <c r="M9" s="4"/>
      <c r="N9" s="69"/>
      <c r="O9" s="305"/>
    </row>
    <row r="10" ht="15" customHeight="1" s="366" customFormat="1">
      <c r="A10" s="14"/>
      <c r="B10" s="25" t="s">
        <v>1005</v>
      </c>
      <c r="C10" s="4"/>
      <c r="D10" s="4"/>
      <c r="E10" s="4"/>
      <c r="F10" s="26"/>
      <c r="G10" s="4"/>
      <c r="H10" s="4"/>
      <c r="I10" s="4"/>
      <c r="J10" s="4"/>
      <c r="K10" s="4"/>
      <c r="L10" s="27"/>
      <c r="M10" s="4"/>
      <c r="N10" s="69"/>
      <c r="O10" s="305"/>
    </row>
    <row r="11" ht="15" customHeight="1" s="366" customFormat="1">
      <c r="A11" s="14"/>
      <c r="B11" s="28"/>
      <c r="C11" s="4"/>
      <c r="D11" s="4"/>
      <c r="E11" s="4"/>
      <c r="F11" s="19" t="s">
        <v>1006</v>
      </c>
      <c r="G11" s="4"/>
      <c r="H11" s="4"/>
      <c r="I11" s="4"/>
      <c r="J11" s="4"/>
      <c r="K11" s="4"/>
      <c r="L11" s="20"/>
      <c r="M11" s="4"/>
      <c r="N11" s="68" t="s">
        <v>1007</v>
      </c>
      <c r="O11" s="305"/>
    </row>
    <row r="12" ht="15" customHeight="1" s="366" customFormat="1">
      <c r="A12" s="14"/>
      <c r="B12" s="488" t="s">
        <v>1008</v>
      </c>
      <c r="D12" s="80"/>
      <c r="E12" s="80"/>
      <c r="F12" s="81"/>
      <c r="G12" s="80"/>
      <c r="H12" s="80"/>
      <c r="I12" s="80"/>
      <c r="J12" s="80"/>
      <c r="K12" s="80"/>
      <c r="L12" s="27"/>
      <c r="M12" s="4"/>
      <c r="N12" s="69"/>
      <c r="O12" s="305"/>
    </row>
    <row r="13" ht="15" customHeight="1" s="366" customFormat="1">
      <c r="A13" s="14"/>
      <c r="B13" s="31"/>
      <c r="C13" s="394"/>
      <c r="D13" s="22"/>
      <c r="E13" s="22"/>
      <c r="F13" s="23"/>
      <c r="G13" s="22"/>
      <c r="H13" s="22"/>
      <c r="I13" s="22"/>
      <c r="J13" s="22"/>
      <c r="K13" s="22"/>
      <c r="L13" s="24"/>
      <c r="M13" s="4"/>
      <c r="N13" s="69"/>
      <c r="O13" s="305"/>
    </row>
    <row r="14" ht="15" customHeight="1" s="366" customFormat="1">
      <c r="A14" s="14"/>
      <c r="B14" s="32" t="s">
        <v>1009</v>
      </c>
      <c r="C14" s="4"/>
      <c r="D14" s="4"/>
      <c r="E14" s="4"/>
      <c r="F14" s="19"/>
      <c r="G14" s="4"/>
      <c r="H14" s="4"/>
      <c r="I14" s="4"/>
      <c r="J14" s="4"/>
      <c r="K14" s="4"/>
      <c r="L14" s="27"/>
      <c r="M14" s="4"/>
      <c r="N14" s="69"/>
      <c r="O14" s="305"/>
    </row>
    <row r="15" ht="15" customHeight="1" s="366" customFormat="1">
      <c r="A15" s="14"/>
      <c r="B15" s="28"/>
      <c r="C15" s="4"/>
      <c r="D15" s="4"/>
      <c r="E15" s="4"/>
      <c r="F15" s="19" t="s">
        <v>1010</v>
      </c>
      <c r="G15" s="4"/>
      <c r="H15" s="4"/>
      <c r="I15" s="4"/>
      <c r="J15" s="4"/>
      <c r="K15" s="4"/>
      <c r="L15" s="20"/>
      <c r="M15" s="4"/>
      <c r="N15" s="68"/>
      <c r="O15" s="305"/>
    </row>
    <row r="16" ht="15" customHeight="1" s="366" customFormat="1">
      <c r="A16" s="4"/>
      <c r="B16" s="34"/>
      <c r="C16" s="35"/>
      <c r="D16" s="35"/>
      <c r="E16" s="35"/>
      <c r="F16" s="36"/>
      <c r="G16" s="35"/>
      <c r="H16" s="35"/>
      <c r="I16" s="35"/>
      <c r="J16" s="35"/>
      <c r="K16" s="35"/>
      <c r="L16" s="37"/>
      <c r="M16" s="4"/>
      <c r="N16" s="69"/>
      <c r="O16" s="305"/>
    </row>
    <row r="17" ht="15" customHeight="1" s="366" customForma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69"/>
      <c r="O17" s="305"/>
    </row>
    <row r="18" ht="15" customHeight="1" s="366" customFormat="1">
      <c r="A18" s="4"/>
      <c r="B18" s="4"/>
      <c r="C18" s="4"/>
      <c r="D18" s="4"/>
      <c r="E18" s="4"/>
      <c r="F18" s="4"/>
      <c r="G18" s="38"/>
      <c r="H18" s="4"/>
      <c r="I18" s="4"/>
      <c r="J18" s="4"/>
      <c r="K18" s="4"/>
      <c r="L18" s="372"/>
      <c r="M18" s="4"/>
      <c r="N18" s="69"/>
      <c r="O18" s="305"/>
    </row>
    <row r="19" ht="15" customHeight="1" s="366" customFormat="1">
      <c r="A19" s="4"/>
      <c r="B19" s="4"/>
      <c r="C19" s="4"/>
      <c r="D19" s="4"/>
      <c r="E19" s="4"/>
      <c r="F19" s="4"/>
      <c r="G19" s="38"/>
      <c r="H19" s="4"/>
      <c r="I19" s="4"/>
      <c r="J19" s="4"/>
      <c r="K19" s="4"/>
      <c r="L19" s="372"/>
      <c r="M19" s="4"/>
      <c r="N19" s="69"/>
      <c r="O19" s="305"/>
    </row>
    <row r="20" ht="15" customHeight="1" s="366" customFormat="1">
      <c r="A20" s="39" t="s">
        <v>1011</v>
      </c>
      <c r="B20" s="19"/>
      <c r="C20" s="4"/>
      <c r="D20" s="4"/>
      <c r="E20" s="4"/>
      <c r="F20" s="4"/>
      <c r="G20" s="38"/>
      <c r="H20" s="4"/>
      <c r="I20" s="4"/>
      <c r="J20" s="4"/>
      <c r="K20" s="4"/>
      <c r="L20" s="372"/>
      <c r="M20" s="4"/>
      <c r="N20" s="68" t="s">
        <v>1012</v>
      </c>
      <c r="O20" s="305"/>
    </row>
    <row r="21" ht="15" customHeight="1" s="366" customFormat="1">
      <c r="A21" s="40"/>
      <c r="B21" s="19"/>
      <c r="C21" s="4"/>
      <c r="D21" s="4"/>
      <c r="E21" s="4"/>
      <c r="F21" s="4"/>
      <c r="G21" s="38"/>
      <c r="H21" s="4"/>
      <c r="I21" s="4"/>
      <c r="J21" s="4"/>
      <c r="K21" s="4"/>
      <c r="L21" s="372"/>
      <c r="M21" s="4"/>
      <c r="N21" s="65"/>
      <c r="O21" s="383"/>
    </row>
    <row r="22" ht="20.1" customHeight="1" s="366" customFormat="1">
      <c r="A22" s="40"/>
      <c r="B22" s="19"/>
      <c r="C22" s="41"/>
      <c r="D22" s="42"/>
      <c r="E22" s="43" t="s">
        <v>1003</v>
      </c>
      <c r="F22" s="42"/>
      <c r="G22" s="44"/>
      <c r="H22" s="45"/>
      <c r="I22" s="4"/>
      <c r="J22" s="4"/>
      <c r="K22" s="4"/>
      <c r="L22" s="372"/>
      <c r="M22" s="4"/>
      <c r="N22" s="65"/>
      <c r="O22" s="383"/>
    </row>
    <row r="23" ht="15" customHeight="1" s="366" customFormat="1">
      <c r="A23" s="40"/>
      <c r="B23" s="19"/>
      <c r="C23" s="4"/>
      <c r="D23" s="4"/>
      <c r="E23" s="4"/>
      <c r="F23" s="4"/>
      <c r="G23" s="38"/>
      <c r="H23" s="4"/>
      <c r="I23" s="4"/>
      <c r="J23" s="4"/>
      <c r="K23" s="4"/>
      <c r="L23" s="372"/>
      <c r="M23" s="4"/>
      <c r="N23" s="65"/>
      <c r="O23" s="383"/>
    </row>
    <row r="24" ht="15" customHeight="1" s="4" customFormat="1">
      <c r="B24" s="4" t="s">
        <v>171</v>
      </c>
      <c r="L24" s="372"/>
      <c r="O24" s="383"/>
      <c r="X24" s="372"/>
      <c r="Z24" s="372"/>
      <c r="AC24" s="372"/>
      <c r="AN24" s="171"/>
      <c r="AQ24" s="30"/>
    </row>
    <row r="25" ht="15" customHeight="1" s="4" customFormat="1">
      <c r="B25" s="11"/>
      <c r="C25" s="4" t="s">
        <v>1013</v>
      </c>
      <c r="D25" s="30" t="s">
        <v>173</v>
      </c>
      <c r="E25" s="4" t="s">
        <v>1014</v>
      </c>
      <c r="L25" s="372"/>
      <c r="O25" s="383"/>
      <c r="X25" s="372"/>
      <c r="Z25" s="372"/>
      <c r="AC25" s="372"/>
      <c r="AN25" s="171"/>
      <c r="AQ25" s="30"/>
    </row>
    <row r="26" ht="15" customHeight="1" s="4" customFormat="1">
      <c r="B26" s="11"/>
      <c r="C26" s="4" t="s">
        <v>355</v>
      </c>
      <c r="D26" s="30" t="s">
        <v>173</v>
      </c>
      <c r="E26" s="4" t="s">
        <v>1015</v>
      </c>
      <c r="L26" s="372"/>
      <c r="O26" s="383"/>
      <c r="X26" s="372"/>
      <c r="Z26" s="372"/>
      <c r="AC26" s="372"/>
      <c r="AN26" s="171"/>
      <c r="AQ26" s="30"/>
    </row>
    <row r="27" ht="15" customHeight="1" s="4" customFormat="1">
      <c r="B27" s="11"/>
      <c r="E27" s="30"/>
      <c r="L27" s="372"/>
      <c r="O27" s="383"/>
      <c r="X27" s="372"/>
      <c r="Z27" s="372"/>
      <c r="AC27" s="372"/>
      <c r="AN27" s="171"/>
      <c r="AQ27" s="30"/>
    </row>
    <row r="28" ht="15" customHeight="1" s="4" customFormat="1">
      <c r="B28" s="467" t="s">
        <v>197</v>
      </c>
      <c r="C28" s="4" t="s">
        <v>832</v>
      </c>
      <c r="E28" s="19"/>
      <c r="J28" s="105"/>
      <c r="K28" s="465"/>
      <c r="M28" s="234" t="s">
        <v>261</v>
      </c>
      <c r="O28" s="307"/>
      <c r="T28" s="465"/>
      <c r="Y28" s="466"/>
      <c r="AA28" s="465"/>
      <c r="AD28" s="465"/>
    </row>
    <row r="29" ht="20.1" customHeight="1" s="4" customFormat="1">
      <c r="B29" s="11"/>
      <c r="C29" s="46" t="s">
        <v>163</v>
      </c>
      <c r="D29" s="47"/>
      <c r="E29" s="47"/>
      <c r="F29" s="47"/>
      <c r="G29" s="47"/>
      <c r="H29" s="46" t="s">
        <v>262</v>
      </c>
      <c r="I29" s="47"/>
      <c r="J29" s="319"/>
      <c r="K29" s="47"/>
      <c r="L29" s="47"/>
      <c r="O29" s="296"/>
      <c r="T29" s="465"/>
      <c r="Y29" s="466"/>
      <c r="AA29" s="465"/>
      <c r="AD29" s="465"/>
    </row>
    <row r="30" ht="20.1" customHeight="1" s="4" customFormat="1">
      <c r="B30" s="11"/>
      <c r="C30" s="4" t="s">
        <v>263</v>
      </c>
      <c r="H30" s="54">
        <v>1</v>
      </c>
      <c r="J30" s="105"/>
      <c r="O30" s="296"/>
      <c r="T30" s="465"/>
      <c r="Y30" s="466"/>
      <c r="AA30" s="465"/>
      <c r="AD30" s="465"/>
    </row>
    <row r="31" ht="20.1" customHeight="1" s="4" customFormat="1">
      <c r="B31" s="11"/>
      <c r="C31" s="22" t="s">
        <v>167</v>
      </c>
      <c r="D31" s="22"/>
      <c r="E31" s="22"/>
      <c r="F31" s="22"/>
      <c r="G31" s="22"/>
      <c r="H31" s="22" t="s">
        <v>833</v>
      </c>
      <c r="I31" s="22"/>
      <c r="J31" s="320"/>
      <c r="K31" s="22"/>
      <c r="L31" s="22"/>
      <c r="O31" s="296"/>
      <c r="T31" s="465"/>
      <c r="Y31" s="466"/>
      <c r="AA31" s="465"/>
      <c r="AD31" s="465"/>
    </row>
    <row r="32" ht="15" customHeight="1" s="4" customFormat="1">
      <c r="B32" s="19"/>
      <c r="D32" s="109"/>
      <c r="F32" s="110"/>
      <c r="G32" s="110"/>
      <c r="H32" s="110"/>
      <c r="K32" s="465"/>
      <c r="O32" s="307"/>
      <c r="T32" s="465"/>
      <c r="Y32" s="466"/>
      <c r="AA32" s="465"/>
      <c r="AD32" s="465"/>
    </row>
    <row r="33" ht="15" customHeight="1" s="4" customFormat="1">
      <c r="B33" s="19"/>
      <c r="C33" s="56" t="s">
        <v>265</v>
      </c>
      <c r="D33" s="109"/>
      <c r="G33" s="110"/>
      <c r="H33" s="110"/>
      <c r="K33" s="465"/>
      <c r="O33" s="307"/>
      <c r="T33" s="465"/>
      <c r="Y33" s="466"/>
      <c r="AA33" s="465"/>
      <c r="AD33" s="465"/>
    </row>
    <row r="34" ht="15" customHeight="1" s="4" customFormat="1">
      <c r="B34" s="19"/>
      <c r="C34" s="466" t="s">
        <v>266</v>
      </c>
      <c r="D34" s="109"/>
      <c r="G34" s="110"/>
      <c r="H34" s="110"/>
      <c r="K34" s="465"/>
      <c r="O34" s="296"/>
      <c r="T34" s="465"/>
      <c r="Y34" s="466"/>
      <c r="AA34" s="465"/>
      <c r="AD34" s="465"/>
    </row>
    <row r="35" ht="15" customHeight="1" s="4" customFormat="1">
      <c r="B35" s="19"/>
      <c r="C35" s="56" t="s">
        <v>267</v>
      </c>
      <c r="D35" s="109"/>
      <c r="G35" s="110"/>
      <c r="H35" s="110"/>
      <c r="K35" s="465"/>
      <c r="O35" s="296"/>
      <c r="T35" s="465"/>
      <c r="Y35" s="466"/>
      <c r="AA35" s="465"/>
      <c r="AD35" s="465"/>
    </row>
    <row r="36" ht="15" customHeight="1" s="4" customFormat="1">
      <c r="B36" s="19"/>
      <c r="C36" s="4" t="s">
        <v>834</v>
      </c>
      <c r="D36" s="109"/>
      <c r="G36" s="110"/>
      <c r="H36" s="110"/>
      <c r="K36" s="465"/>
      <c r="O36" s="296"/>
      <c r="T36" s="465"/>
      <c r="Y36" s="466"/>
      <c r="AA36" s="465"/>
      <c r="AD36" s="465"/>
    </row>
    <row r="37" ht="15" customHeight="1" s="4" customFormat="1">
      <c r="B37" s="19"/>
      <c r="C37" s="4" t="s">
        <v>835</v>
      </c>
      <c r="D37" s="109"/>
      <c r="G37" s="110"/>
      <c r="H37" s="110"/>
      <c r="K37" s="465"/>
      <c r="O37" s="296"/>
      <c r="T37" s="465"/>
      <c r="Y37" s="466"/>
      <c r="AA37" s="465"/>
      <c r="AD37" s="465"/>
    </row>
    <row r="38" ht="15" customHeight="1" s="4" customFormat="1">
      <c r="C38" s="19"/>
      <c r="E38" s="109"/>
      <c r="H38" s="110"/>
      <c r="I38" s="110"/>
      <c r="L38" s="465"/>
      <c r="O38" s="296"/>
      <c r="P38" s="64"/>
      <c r="U38" s="465"/>
      <c r="Z38" s="466"/>
      <c r="AB38" s="465"/>
      <c r="AE38" s="465"/>
    </row>
    <row r="39" ht="15" customHeight="1" s="4" customFormat="1">
      <c r="A39" s="59" t="s">
        <v>1016</v>
      </c>
      <c r="B39" s="30"/>
      <c r="I39" s="372"/>
      <c r="O39" s="383"/>
      <c r="X39" s="372"/>
      <c r="Z39" s="372"/>
      <c r="AC39" s="372"/>
      <c r="AN39" s="171"/>
      <c r="AQ39" s="30"/>
    </row>
    <row r="40" ht="15" customHeight="1" s="4" customFormat="1">
      <c r="A40" s="335" t="s">
        <v>230</v>
      </c>
      <c r="B40" s="490" t="s">
        <v>431</v>
      </c>
      <c r="C40" s="490"/>
      <c r="D40" s="334" t="s">
        <v>1017</v>
      </c>
      <c r="E40" s="334" t="s">
        <v>1018</v>
      </c>
      <c r="F40" s="334" t="s">
        <v>1019</v>
      </c>
      <c r="G40" s="480" t="s">
        <v>354</v>
      </c>
      <c r="H40" s="480" t="s">
        <v>1020</v>
      </c>
      <c r="I40" s="480" t="s">
        <v>352</v>
      </c>
      <c r="J40" s="480" t="s">
        <v>1021</v>
      </c>
      <c r="K40" s="490" t="s">
        <v>1022</v>
      </c>
      <c r="L40" s="490"/>
      <c r="M40" s="490" t="s">
        <v>964</v>
      </c>
      <c r="N40" s="491"/>
      <c r="O40" s="383"/>
    </row>
    <row r="41" ht="15" customHeight="1" s="4" customFormat="1">
      <c r="A41" s="337"/>
      <c r="B41" s="357" t="s">
        <v>957</v>
      </c>
      <c r="C41" s="357" t="s">
        <v>960</v>
      </c>
      <c r="D41" s="302"/>
      <c r="E41" s="302"/>
      <c r="F41" s="302"/>
      <c r="G41" s="358"/>
      <c r="H41" s="358"/>
      <c r="I41" s="358"/>
      <c r="J41" s="358"/>
      <c r="K41" s="483" t="s">
        <v>957</v>
      </c>
      <c r="L41" s="483" t="s">
        <v>960</v>
      </c>
      <c r="M41" s="483" t="s">
        <v>957</v>
      </c>
      <c r="N41" s="484" t="s">
        <v>960</v>
      </c>
      <c r="O41" s="383"/>
    </row>
    <row r="42" ht="15" customHeight="1">
      <c r="A42" s="182">
        <f>INPUT!D3</f>
        <v>101</v>
      </c>
      <c r="B42" s="481">
        <f>INPUT!CN3</f>
        <v>0.73050782555113025</v>
      </c>
      <c r="C42" s="481">
        <f>INPUT!CO3</f>
        <v>-0.691624579055492</v>
      </c>
      <c r="D42" s="184">
        <f>MAX(INPUT!CF3-INPUT!J3,INPUT!CG3-INPUT!L3)</f>
        <v>1485.9916938948841</v>
      </c>
      <c r="E42" s="184">
        <f>IF(INPUT!CF3-INPUT!J3&gt;=INPUT!CG3-INPUT!L3,INPUT!H3*INPUT!I3*INPUT!J3,INPUT!K3*INPUT!L3)</f>
        <v>23235.974822151198</v>
      </c>
      <c r="F42" s="184">
        <f>INPUT!O3</f>
        <v>12</v>
      </c>
      <c r="G42" s="131">
        <f>2*D42*F42/E42</f>
        <v>1.5348527843763364</v>
      </c>
      <c r="H42" s="184">
        <f>MAX(INPUT!AO3,ABS(B42),ABS(C42))</f>
        <v>380</v>
      </c>
      <c r="I42" s="131">
        <f>MIN(INPUT!AQ3/H42,1)</f>
        <v>0.93421052631578949</v>
      </c>
      <c r="J42" s="482">
        <f>IF(INPUT!AQ3&gt;=INPUT!AO3,1,(12+G42*(3*I42-I42^3))/(12+2*G42))</f>
        <v>0.9987065011286681</v>
      </c>
      <c r="K42" s="195">
        <f>0.95*J42*INPUT!AO3</f>
        <v>360.53304690744915</v>
      </c>
      <c r="L42" s="131">
        <f>0.95*J42*INPUT!AP3</f>
        <v>360.53304690744915</v>
      </c>
      <c r="M42" s="201" t="str">
        <f>IF(ABS(B42)&lt;=K42,"OK","NG")</f>
        <v>OK</v>
      </c>
      <c r="N42" s="203" t="str">
        <f>IF(ABS(C42)&lt;=L42,"OK","NG")</f>
        <v>OK</v>
      </c>
    </row>
    <row r="43">
      <c r="A43" s="182">
        <f>INPUT!D4</f>
        <v>101</v>
      </c>
      <c r="B43" s="481">
        <f>INPUT!CN4</f>
        <v>0.73050782555113025</v>
      </c>
      <c r="C43" s="481">
        <f>INPUT!CO4</f>
        <v>-0.691624579055492</v>
      </c>
      <c r="D43" s="184">
        <f>MAX(INPUT!CF4-INPUT!J4,INPUT!CG4-INPUT!L4)</f>
        <v>1485.9916938948841</v>
      </c>
      <c r="E43" s="184">
        <f>IF(INPUT!CF4-INPUT!J4&gt;=INPUT!CG4-INPUT!L4,INPUT!H4*INPUT!I4*INPUT!J4,INPUT!K4*INPUT!L4)</f>
        <v>23235.974822151198</v>
      </c>
      <c r="F43" s="184">
        <f>INPUT!O4</f>
        <v>12</v>
      </c>
      <c r="G43" s="131">
        <f>2*D43*F43/E43</f>
        <v>1.5348527843763364</v>
      </c>
      <c r="H43" s="184">
        <f>MAX(INPUT!AO4,ABS(B43),ABS(C43))</f>
        <v>380</v>
      </c>
      <c r="I43" s="131">
        <f>MIN(INPUT!AQ4/H43,1)</f>
        <v>0.93421052631578949</v>
      </c>
      <c r="J43" s="482">
        <f>IF(INPUT!AQ4&gt;=INPUT!AO4,1,(12+G43*(3*I43-I43^3))/(12+2*G43))</f>
        <v>0.9987065011286681</v>
      </c>
      <c r="K43" s="195">
        <f>0.95*J43*INPUT!AO4</f>
        <v>360.53304690744915</v>
      </c>
      <c r="L43" s="131">
        <f>0.95*J43*INPUT!AP4</f>
        <v>360.53304690744915</v>
      </c>
      <c r="M43" s="201" t="str">
        <f>IF(ABS(B43)&lt;=K43,"OK","NG")</f>
        <v>OK</v>
      </c>
      <c r="N43" s="203" t="str">
        <f>IF(ABS(C43)&lt;=L43,"OK","NG")</f>
        <v>OK</v>
      </c>
    </row>
    <row r="44">
      <c r="A44" s="182">
        <f>INPUT!D5</f>
        <v>101</v>
      </c>
      <c r="B44" s="481">
        <f>INPUT!CN5</f>
        <v>0.73050782555113025</v>
      </c>
      <c r="C44" s="481">
        <f>INPUT!CO5</f>
        <v>-0.691624579055492</v>
      </c>
      <c r="D44" s="184">
        <f>MAX(INPUT!CF5-INPUT!J5,INPUT!CG5-INPUT!L5)</f>
        <v>1485.9916938948841</v>
      </c>
      <c r="E44" s="184">
        <f>IF(INPUT!CF5-INPUT!J5&gt;=INPUT!CG5-INPUT!L5,INPUT!H5*INPUT!I5*INPUT!J5,INPUT!K5*INPUT!L5)</f>
        <v>23235.974822151198</v>
      </c>
      <c r="F44" s="184">
        <f>INPUT!O5</f>
        <v>12</v>
      </c>
      <c r="G44" s="131">
        <f>2*D44*F44/E44</f>
        <v>1.5348527843763364</v>
      </c>
      <c r="H44" s="184">
        <f>MAX(INPUT!AO5,ABS(B44),ABS(C44))</f>
        <v>380</v>
      </c>
      <c r="I44" s="131">
        <f>MIN(INPUT!AQ5/H44,1)</f>
        <v>0.93421052631578949</v>
      </c>
      <c r="J44" s="482">
        <f>IF(INPUT!AQ5&gt;=INPUT!AO5,1,(12+G44*(3*I44-I44^3))/(12+2*G44))</f>
        <v>0.9987065011286681</v>
      </c>
      <c r="K44" s="195">
        <f>0.95*J44*INPUT!AO5</f>
        <v>360.53304690744915</v>
      </c>
      <c r="L44" s="131">
        <f>0.95*J44*INPUT!AP5</f>
        <v>360.53304690744915</v>
      </c>
      <c r="M44" s="201" t="str">
        <f>IF(ABS(B44)&lt;=K44,"OK","NG")</f>
        <v>OK</v>
      </c>
      <c r="N44" s="203" t="str">
        <f>IF(ABS(C44)&lt;=L44,"OK","NG")</f>
        <v>OK</v>
      </c>
    </row>
    <row r="45">
      <c r="A45" s="182">
        <f>INPUT!D6</f>
        <v>101</v>
      </c>
      <c r="B45" s="481">
        <f>INPUT!CN6</f>
        <v>0.73050782555113025</v>
      </c>
      <c r="C45" s="481">
        <f>INPUT!CO6</f>
        <v>-0.691624579055492</v>
      </c>
      <c r="D45" s="184">
        <f>MAX(INPUT!CF6-INPUT!J6,INPUT!CG6-INPUT!L6)</f>
        <v>1485.9916938948841</v>
      </c>
      <c r="E45" s="184">
        <f>IF(INPUT!CF6-INPUT!J6&gt;=INPUT!CG6-INPUT!L6,INPUT!H6*INPUT!I6*INPUT!J6,INPUT!K6*INPUT!L6)</f>
        <v>23235.974822151198</v>
      </c>
      <c r="F45" s="184">
        <f>INPUT!O6</f>
        <v>12</v>
      </c>
      <c r="G45" s="131">
        <f>2*D45*F45/E45</f>
        <v>1.5348527843763364</v>
      </c>
      <c r="H45" s="184">
        <f>MAX(INPUT!AO6,ABS(B45),ABS(C45))</f>
        <v>380</v>
      </c>
      <c r="I45" s="131">
        <f>MIN(INPUT!AQ6/H45,1)</f>
        <v>0.93421052631578949</v>
      </c>
      <c r="J45" s="482">
        <f>IF(INPUT!AQ6&gt;=INPUT!AO6,1,(12+G45*(3*I45-I45^3))/(12+2*G45))</f>
        <v>0.9987065011286681</v>
      </c>
      <c r="K45" s="195">
        <f>0.95*J45*INPUT!AO6</f>
        <v>360.53304690744915</v>
      </c>
      <c r="L45" s="131">
        <f>0.95*J45*INPUT!AP6</f>
        <v>360.53304690744915</v>
      </c>
      <c r="M45" s="201" t="str">
        <f>IF(ABS(B45)&lt;=K45,"OK","NG")</f>
        <v>OK</v>
      </c>
      <c r="N45" s="203" t="str">
        <f>IF(ABS(C45)&lt;=L45,"OK","NG")</f>
        <v>OK</v>
      </c>
    </row>
    <row r="46">
      <c r="A46" s="182">
        <f>INPUT!D7</f>
        <v>101</v>
      </c>
      <c r="B46" s="481">
        <f>INPUT!CN7</f>
        <v>0.73050782555113025</v>
      </c>
      <c r="C46" s="481">
        <f>INPUT!CO7</f>
        <v>-0.691624579055492</v>
      </c>
      <c r="D46" s="184">
        <f>MAX(INPUT!CF7-INPUT!J7,INPUT!CG7-INPUT!L7)</f>
        <v>1485.9916938948841</v>
      </c>
      <c r="E46" s="184">
        <f>IF(INPUT!CF7-INPUT!J7&gt;=INPUT!CG7-INPUT!L7,INPUT!H7*INPUT!I7*INPUT!J7,INPUT!K7*INPUT!L7)</f>
        <v>23235.974822151198</v>
      </c>
      <c r="F46" s="184">
        <f>INPUT!O7</f>
        <v>12</v>
      </c>
      <c r="G46" s="131">
        <f>2*D46*F46/E46</f>
        <v>1.5348527843763364</v>
      </c>
      <c r="H46" s="184">
        <f>MAX(INPUT!AO7,ABS(B46),ABS(C46))</f>
        <v>380</v>
      </c>
      <c r="I46" s="131">
        <f>MIN(INPUT!AQ7/H46,1)</f>
        <v>0.93421052631578949</v>
      </c>
      <c r="J46" s="482">
        <f>IF(INPUT!AQ7&gt;=INPUT!AO7,1,(12+G46*(3*I46-I46^3))/(12+2*G46))</f>
        <v>0.9987065011286681</v>
      </c>
      <c r="K46" s="195">
        <f>0.95*J46*INPUT!AO7</f>
        <v>360.53304690744915</v>
      </c>
      <c r="L46" s="131">
        <f>0.95*J46*INPUT!AP7</f>
        <v>360.53304690744915</v>
      </c>
      <c r="M46" s="201" t="str">
        <f>IF(ABS(B46)&lt;=K46,"OK","NG")</f>
        <v>OK</v>
      </c>
      <c r="N46" s="203" t="str">
        <f>IF(ABS(C46)&lt;=L46,"OK","NG")</f>
        <v>OK</v>
      </c>
    </row>
    <row r="47">
      <c r="A47" s="182">
        <f>INPUT!D8</f>
        <v>101</v>
      </c>
      <c r="B47" s="481">
        <f>INPUT!CN8</f>
        <v>0.73050782555113025</v>
      </c>
      <c r="C47" s="481">
        <f>INPUT!CO8</f>
        <v>-0.691624579055492</v>
      </c>
      <c r="D47" s="184">
        <f>MAX(INPUT!CF8-INPUT!J8,INPUT!CG8-INPUT!L8)</f>
        <v>1485.9916938948841</v>
      </c>
      <c r="E47" s="184">
        <f>IF(INPUT!CF8-INPUT!J8&gt;=INPUT!CG8-INPUT!L8,INPUT!H8*INPUT!I8*INPUT!J8,INPUT!K8*INPUT!L8)</f>
        <v>23235.974822151198</v>
      </c>
      <c r="F47" s="184">
        <f>INPUT!O8</f>
        <v>12</v>
      </c>
      <c r="G47" s="131">
        <f>2*D47*F47/E47</f>
        <v>1.5348527843763364</v>
      </c>
      <c r="H47" s="184">
        <f>MAX(INPUT!AO8,ABS(B47),ABS(C47))</f>
        <v>380</v>
      </c>
      <c r="I47" s="131">
        <f>MIN(INPUT!AQ8/H47,1)</f>
        <v>0.93421052631578949</v>
      </c>
      <c r="J47" s="482">
        <f>IF(INPUT!AQ8&gt;=INPUT!AO8,1,(12+G47*(3*I47-I47^3))/(12+2*G47))</f>
        <v>0.9987065011286681</v>
      </c>
      <c r="K47" s="195">
        <f>0.95*J47*INPUT!AO8</f>
        <v>360.53304690744915</v>
      </c>
      <c r="L47" s="131">
        <f>0.95*J47*INPUT!AP8</f>
        <v>360.53304690744915</v>
      </c>
      <c r="M47" s="201" t="str">
        <f>IF(ABS(B47)&lt;=K47,"OK","NG")</f>
        <v>OK</v>
      </c>
      <c r="N47" s="203" t="str">
        <f>IF(ABS(C47)&lt;=L47,"OK","NG")</f>
        <v>OK</v>
      </c>
    </row>
    <row r="48">
      <c r="A48" s="182">
        <f>INPUT!D9</f>
        <v>101</v>
      </c>
      <c r="B48" s="481">
        <f>INPUT!CN9</f>
        <v>0.73050782555113025</v>
      </c>
      <c r="C48" s="481">
        <f>INPUT!CO9</f>
        <v>-0.691624579055492</v>
      </c>
      <c r="D48" s="184">
        <f>MAX(INPUT!CF9-INPUT!J9,INPUT!CG9-INPUT!L9)</f>
        <v>1485.9916938948841</v>
      </c>
      <c r="E48" s="184">
        <f>IF(INPUT!CF9-INPUT!J9&gt;=INPUT!CG9-INPUT!L9,INPUT!H9*INPUT!I9*INPUT!J9,INPUT!K9*INPUT!L9)</f>
        <v>23235.974822151198</v>
      </c>
      <c r="F48" s="184">
        <f>INPUT!O9</f>
        <v>12</v>
      </c>
      <c r="G48" s="131">
        <f>2*D48*F48/E48</f>
        <v>1.5348527843763364</v>
      </c>
      <c r="H48" s="184">
        <f>MAX(INPUT!AO9,ABS(B48),ABS(C48))</f>
        <v>380</v>
      </c>
      <c r="I48" s="131">
        <f>MIN(INPUT!AQ9/H48,1)</f>
        <v>0.93421052631578949</v>
      </c>
      <c r="J48" s="482">
        <f>IF(INPUT!AQ9&gt;=INPUT!AO9,1,(12+G48*(3*I48-I48^3))/(12+2*G48))</f>
        <v>0.9987065011286681</v>
      </c>
      <c r="K48" s="195">
        <f>0.95*J48*INPUT!AO9</f>
        <v>360.53304690744915</v>
      </c>
      <c r="L48" s="131">
        <f>0.95*J48*INPUT!AP9</f>
        <v>360.53304690744915</v>
      </c>
      <c r="M48" s="201" t="str">
        <f>IF(ABS(B48)&lt;=K48,"OK","NG")</f>
        <v>OK</v>
      </c>
      <c r="N48" s="203" t="str">
        <f>IF(ABS(C48)&lt;=L48,"OK","NG")</f>
        <v>OK</v>
      </c>
    </row>
    <row r="49">
      <c r="A49" s="182">
        <f>INPUT!D10</f>
        <v>101</v>
      </c>
      <c r="B49" s="481">
        <f>INPUT!CN10</f>
        <v>0.73050782555113025</v>
      </c>
      <c r="C49" s="481">
        <f>INPUT!CO10</f>
        <v>-0.691624579055492</v>
      </c>
      <c r="D49" s="184">
        <f>MAX(INPUT!CF10-INPUT!J10,INPUT!CG10-INPUT!L10)</f>
        <v>1485.9916938948841</v>
      </c>
      <c r="E49" s="184">
        <f>IF(INPUT!CF10-INPUT!J10&gt;=INPUT!CG10-INPUT!L10,INPUT!H10*INPUT!I10*INPUT!J10,INPUT!K10*INPUT!L10)</f>
        <v>23235.974822151198</v>
      </c>
      <c r="F49" s="184">
        <f>INPUT!O10</f>
        <v>12</v>
      </c>
      <c r="G49" s="131">
        <f>2*D49*F49/E49</f>
        <v>1.5348527843763364</v>
      </c>
      <c r="H49" s="184">
        <f>MAX(INPUT!AO10,ABS(B49),ABS(C49))</f>
        <v>380</v>
      </c>
      <c r="I49" s="131">
        <f>MIN(INPUT!AQ10/H49,1)</f>
        <v>0.93421052631578949</v>
      </c>
      <c r="J49" s="482">
        <f>IF(INPUT!AQ10&gt;=INPUT!AO10,1,(12+G49*(3*I49-I49^3))/(12+2*G49))</f>
        <v>0.9987065011286681</v>
      </c>
      <c r="K49" s="195">
        <f>0.95*J49*INPUT!AO10</f>
        <v>360.53304690744915</v>
      </c>
      <c r="L49" s="131">
        <f>0.95*J49*INPUT!AP10</f>
        <v>360.53304690744915</v>
      </c>
      <c r="M49" s="201" t="str">
        <f>IF(ABS(B49)&lt;=K49,"OK","NG")</f>
        <v>OK</v>
      </c>
      <c r="N49" s="203" t="str">
        <f>IF(ABS(C49)&lt;=L49,"OK","NG")</f>
        <v>OK</v>
      </c>
    </row>
    <row r="50">
      <c r="A50" s="182">
        <f>INPUT!D11</f>
        <v>101</v>
      </c>
      <c r="B50" s="481">
        <f>INPUT!CN11</f>
        <v>0.73050782555113025</v>
      </c>
      <c r="C50" s="481">
        <f>INPUT!CO11</f>
        <v>-0.691624579055492</v>
      </c>
      <c r="D50" s="184">
        <f>MAX(INPUT!CF11-INPUT!J11,INPUT!CG11-INPUT!L11)</f>
        <v>1485.9916938948841</v>
      </c>
      <c r="E50" s="184">
        <f>IF(INPUT!CF11-INPUT!J11&gt;=INPUT!CG11-INPUT!L11,INPUT!H11*INPUT!I11*INPUT!J11,INPUT!K11*INPUT!L11)</f>
        <v>23235.974822151198</v>
      </c>
      <c r="F50" s="184">
        <f>INPUT!O11</f>
        <v>12</v>
      </c>
      <c r="G50" s="131">
        <f>2*D50*F50/E50</f>
        <v>1.5348527843763364</v>
      </c>
      <c r="H50" s="184">
        <f>MAX(INPUT!AO11,ABS(B50),ABS(C50))</f>
        <v>380</v>
      </c>
      <c r="I50" s="131">
        <f>MIN(INPUT!AQ11/H50,1)</f>
        <v>0.93421052631578949</v>
      </c>
      <c r="J50" s="482">
        <f>IF(INPUT!AQ11&gt;=INPUT!AO11,1,(12+G50*(3*I50-I50^3))/(12+2*G50))</f>
        <v>0.9987065011286681</v>
      </c>
      <c r="K50" s="195">
        <f>0.95*J50*INPUT!AO11</f>
        <v>360.53304690744915</v>
      </c>
      <c r="L50" s="131">
        <f>0.95*J50*INPUT!AP11</f>
        <v>360.53304690744915</v>
      </c>
      <c r="M50" s="201" t="str">
        <f>IF(ABS(B50)&lt;=K50,"OK","NG")</f>
        <v>OK</v>
      </c>
      <c r="N50" s="203" t="str">
        <f>IF(ABS(C50)&lt;=L50,"OK","NG")</f>
        <v>OK</v>
      </c>
    </row>
    <row r="51">
      <c r="A51" s="182">
        <f>INPUT!D12</f>
        <v>101</v>
      </c>
      <c r="B51" s="481">
        <f>INPUT!CN12</f>
        <v>0.73050782555113025</v>
      </c>
      <c r="C51" s="481">
        <f>INPUT!CO12</f>
        <v>-0.691624579055492</v>
      </c>
      <c r="D51" s="184">
        <f>MAX(INPUT!CF12-INPUT!J12,INPUT!CG12-INPUT!L12)</f>
        <v>1485.9916938948841</v>
      </c>
      <c r="E51" s="184">
        <f>IF(INPUT!CF12-INPUT!J12&gt;=INPUT!CG12-INPUT!L12,INPUT!H12*INPUT!I12*INPUT!J12,INPUT!K12*INPUT!L12)</f>
        <v>23235.974822151198</v>
      </c>
      <c r="F51" s="184">
        <f>INPUT!O12</f>
        <v>12</v>
      </c>
      <c r="G51" s="131">
        <f>2*D51*F51/E51</f>
        <v>1.5348527843763364</v>
      </c>
      <c r="H51" s="184">
        <f>MAX(INPUT!AO12,ABS(B51),ABS(C51))</f>
        <v>380</v>
      </c>
      <c r="I51" s="131">
        <f>MIN(INPUT!AQ12/H51,1)</f>
        <v>0.93421052631578949</v>
      </c>
      <c r="J51" s="482">
        <f>IF(INPUT!AQ12&gt;=INPUT!AO12,1,(12+G51*(3*I51-I51^3))/(12+2*G51))</f>
        <v>0.9987065011286681</v>
      </c>
      <c r="K51" s="195">
        <f>0.95*J51*INPUT!AO12</f>
        <v>360.53304690744915</v>
      </c>
      <c r="L51" s="131">
        <f>0.95*J51*INPUT!AP12</f>
        <v>360.53304690744915</v>
      </c>
      <c r="M51" s="201" t="str">
        <f>IF(ABS(B51)&lt;=K51,"OK","NG")</f>
        <v>OK</v>
      </c>
      <c r="N51" s="203" t="str">
        <f>IF(ABS(C51)&lt;=L51,"OK","NG")</f>
        <v>OK</v>
      </c>
    </row>
    <row r="52">
      <c r="A52" s="182">
        <f>INPUT!D13</f>
        <v>101</v>
      </c>
      <c r="B52" s="481">
        <f>INPUT!CN13</f>
        <v>0.73050782555113025</v>
      </c>
      <c r="C52" s="481">
        <f>INPUT!CO13</f>
        <v>-0.691624579055492</v>
      </c>
      <c r="D52" s="184">
        <f>MAX(INPUT!CF13-INPUT!J13,INPUT!CG13-INPUT!L13)</f>
        <v>1485.9916938948841</v>
      </c>
      <c r="E52" s="184">
        <f>IF(INPUT!CF13-INPUT!J13&gt;=INPUT!CG13-INPUT!L13,INPUT!H13*INPUT!I13*INPUT!J13,INPUT!K13*INPUT!L13)</f>
        <v>23235.974822151198</v>
      </c>
      <c r="F52" s="184">
        <f>INPUT!O13</f>
        <v>12</v>
      </c>
      <c r="G52" s="131">
        <f>2*D52*F52/E52</f>
        <v>1.5348527843763364</v>
      </c>
      <c r="H52" s="184">
        <f>MAX(INPUT!AO13,ABS(B52),ABS(C52))</f>
        <v>380</v>
      </c>
      <c r="I52" s="131">
        <f>MIN(INPUT!AQ13/H52,1)</f>
        <v>0.93421052631578949</v>
      </c>
      <c r="J52" s="482">
        <f>IF(INPUT!AQ13&gt;=INPUT!AO13,1,(12+G52*(3*I52-I52^3))/(12+2*G52))</f>
        <v>0.9987065011286681</v>
      </c>
      <c r="K52" s="195">
        <f>0.95*J52*INPUT!AO13</f>
        <v>360.53304690744915</v>
      </c>
      <c r="L52" s="131">
        <f>0.95*J52*INPUT!AP13</f>
        <v>360.53304690744915</v>
      </c>
      <c r="M52" s="201" t="str">
        <f>IF(ABS(B52)&lt;=K52,"OK","NG")</f>
        <v>OK</v>
      </c>
      <c r="N52" s="203" t="str">
        <f>IF(ABS(C52)&lt;=L52,"OK","NG")</f>
        <v>OK</v>
      </c>
    </row>
    <row r="53">
      <c r="A53" s="182">
        <f>INPUT!D14</f>
        <v>101</v>
      </c>
      <c r="B53" s="481">
        <f>INPUT!CN14</f>
        <v>0.73050782555113025</v>
      </c>
      <c r="C53" s="481">
        <f>INPUT!CO14</f>
        <v>-0.691624579055492</v>
      </c>
      <c r="D53" s="184">
        <f>MAX(INPUT!CF14-INPUT!J14,INPUT!CG14-INPUT!L14)</f>
        <v>1485.9916938948841</v>
      </c>
      <c r="E53" s="184">
        <f>IF(INPUT!CF14-INPUT!J14&gt;=INPUT!CG14-INPUT!L14,INPUT!H14*INPUT!I14*INPUT!J14,INPUT!K14*INPUT!L14)</f>
        <v>23235.974822151198</v>
      </c>
      <c r="F53" s="184">
        <f>INPUT!O14</f>
        <v>12</v>
      </c>
      <c r="G53" s="131">
        <f>2*D53*F53/E53</f>
        <v>1.5348527843763364</v>
      </c>
      <c r="H53" s="184">
        <f>MAX(INPUT!AO14,ABS(B53),ABS(C53))</f>
        <v>380</v>
      </c>
      <c r="I53" s="131">
        <f>MIN(INPUT!AQ14/H53,1)</f>
        <v>0.93421052631578949</v>
      </c>
      <c r="J53" s="482">
        <f>IF(INPUT!AQ14&gt;=INPUT!AO14,1,(12+G53*(3*I53-I53^3))/(12+2*G53))</f>
        <v>0.9987065011286681</v>
      </c>
      <c r="K53" s="195">
        <f>0.95*J53*INPUT!AO14</f>
        <v>360.53304690744915</v>
      </c>
      <c r="L53" s="131">
        <f>0.95*J53*INPUT!AP14</f>
        <v>360.53304690744915</v>
      </c>
      <c r="M53" s="201" t="str">
        <f>IF(ABS(B53)&lt;=K53,"OK","NG")</f>
        <v>OK</v>
      </c>
      <c r="N53" s="203" t="str">
        <f>IF(ABS(C53)&lt;=L53,"OK","NG")</f>
        <v>OK</v>
      </c>
    </row>
    <row r="54">
      <c r="A54" s="182">
        <f>INPUT!D15</f>
        <v>101</v>
      </c>
      <c r="B54" s="481">
        <f>INPUT!CN15</f>
        <v>0.73050782555113025</v>
      </c>
      <c r="C54" s="481">
        <f>INPUT!CO15</f>
        <v>-0.691624579055492</v>
      </c>
      <c r="D54" s="184">
        <f>MAX(INPUT!CF15-INPUT!J15,INPUT!CG15-INPUT!L15)</f>
        <v>1485.9916938948841</v>
      </c>
      <c r="E54" s="184">
        <f>IF(INPUT!CF15-INPUT!J15&gt;=INPUT!CG15-INPUT!L15,INPUT!H15*INPUT!I15*INPUT!J15,INPUT!K15*INPUT!L15)</f>
        <v>23235.974822151198</v>
      </c>
      <c r="F54" s="184">
        <f>INPUT!O15</f>
        <v>12</v>
      </c>
      <c r="G54" s="131">
        <f>2*D54*F54/E54</f>
        <v>1.5348527843763364</v>
      </c>
      <c r="H54" s="184">
        <f>MAX(INPUT!AO15,ABS(B54),ABS(C54))</f>
        <v>380</v>
      </c>
      <c r="I54" s="131">
        <f>MIN(INPUT!AQ15/H54,1)</f>
        <v>0.93421052631578949</v>
      </c>
      <c r="J54" s="482">
        <f>IF(INPUT!AQ15&gt;=INPUT!AO15,1,(12+G54*(3*I54-I54^3))/(12+2*G54))</f>
        <v>0.9987065011286681</v>
      </c>
      <c r="K54" s="195">
        <f>0.95*J54*INPUT!AO15</f>
        <v>360.53304690744915</v>
      </c>
      <c r="L54" s="131">
        <f>0.95*J54*INPUT!AP15</f>
        <v>360.53304690744915</v>
      </c>
      <c r="M54" s="201" t="str">
        <f>IF(ABS(B54)&lt;=K54,"OK","NG")</f>
        <v>OK</v>
      </c>
      <c r="N54" s="203" t="str">
        <f>IF(ABS(C54)&lt;=L54,"OK","NG")</f>
        <v>OK</v>
      </c>
    </row>
    <row r="55">
      <c r="A55" s="182">
        <f>INPUT!D16</f>
        <v>101</v>
      </c>
      <c r="B55" s="481">
        <f>INPUT!CN16</f>
        <v>0.73050782555113025</v>
      </c>
      <c r="C55" s="481">
        <f>INPUT!CO16</f>
        <v>-0.691624579055492</v>
      </c>
      <c r="D55" s="184">
        <f>MAX(INPUT!CF16-INPUT!J16,INPUT!CG16-INPUT!L16)</f>
        <v>1485.9916938948841</v>
      </c>
      <c r="E55" s="184">
        <f>IF(INPUT!CF16-INPUT!J16&gt;=INPUT!CG16-INPUT!L16,INPUT!H16*INPUT!I16*INPUT!J16,INPUT!K16*INPUT!L16)</f>
        <v>23235.974822151198</v>
      </c>
      <c r="F55" s="184">
        <f>INPUT!O16</f>
        <v>12</v>
      </c>
      <c r="G55" s="131">
        <f>2*D55*F55/E55</f>
        <v>1.5348527843763364</v>
      </c>
      <c r="H55" s="184">
        <f>MAX(INPUT!AO16,ABS(B55),ABS(C55))</f>
        <v>380</v>
      </c>
      <c r="I55" s="131">
        <f>MIN(INPUT!AQ16/H55,1)</f>
        <v>0.93421052631578949</v>
      </c>
      <c r="J55" s="482">
        <f>IF(INPUT!AQ16&gt;=INPUT!AO16,1,(12+G55*(3*I55-I55^3))/(12+2*G55))</f>
        <v>0.9987065011286681</v>
      </c>
      <c r="K55" s="195">
        <f>0.95*J55*INPUT!AO16</f>
        <v>360.53304690744915</v>
      </c>
      <c r="L55" s="131">
        <f>0.95*J55*INPUT!AP16</f>
        <v>360.53304690744915</v>
      </c>
      <c r="M55" s="201" t="str">
        <f>IF(ABS(B55)&lt;=K55,"OK","NG")</f>
        <v>OK</v>
      </c>
      <c r="N55" s="203" t="str">
        <f>IF(ABS(C55)&lt;=L55,"OK","NG")</f>
        <v>OK</v>
      </c>
    </row>
    <row r="56">
      <c r="A56" s="182">
        <f>INPUT!D17</f>
        <v>101</v>
      </c>
      <c r="B56" s="481">
        <f>INPUT!CN17</f>
        <v>0.73050782555113025</v>
      </c>
      <c r="C56" s="481">
        <f>INPUT!CO17</f>
        <v>-0.691624579055492</v>
      </c>
      <c r="D56" s="184">
        <f>MAX(INPUT!CF17-INPUT!J17,INPUT!CG17-INPUT!L17)</f>
        <v>1485.9916938948841</v>
      </c>
      <c r="E56" s="184">
        <f>IF(INPUT!CF17-INPUT!J17&gt;=INPUT!CG17-INPUT!L17,INPUT!H17*INPUT!I17*INPUT!J17,INPUT!K17*INPUT!L17)</f>
        <v>23235.974822151198</v>
      </c>
      <c r="F56" s="184">
        <f>INPUT!O17</f>
        <v>12</v>
      </c>
      <c r="G56" s="131">
        <f>2*D56*F56/E56</f>
        <v>1.5348527843763364</v>
      </c>
      <c r="H56" s="184">
        <f>MAX(INPUT!AO17,ABS(B56),ABS(C56))</f>
        <v>380</v>
      </c>
      <c r="I56" s="131">
        <f>MIN(INPUT!AQ17/H56,1)</f>
        <v>0.93421052631578949</v>
      </c>
      <c r="J56" s="482">
        <f>IF(INPUT!AQ17&gt;=INPUT!AO17,1,(12+G56*(3*I56-I56^3))/(12+2*G56))</f>
        <v>0.9987065011286681</v>
      </c>
      <c r="K56" s="195">
        <f>0.95*J56*INPUT!AO17</f>
        <v>360.53304690744915</v>
      </c>
      <c r="L56" s="131">
        <f>0.95*J56*INPUT!AP17</f>
        <v>360.53304690744915</v>
      </c>
      <c r="M56" s="201" t="str">
        <f>IF(ABS(B56)&lt;=K56,"OK","NG")</f>
        <v>OK</v>
      </c>
      <c r="N56" s="203" t="str">
        <f>IF(ABS(C56)&lt;=L56,"OK","NG")</f>
        <v>OK</v>
      </c>
    </row>
    <row r="57">
      <c r="A57" s="182">
        <f>INPUT!D18</f>
        <v>101</v>
      </c>
      <c r="B57" s="481">
        <f>INPUT!CN18</f>
        <v>0.73050782555113025</v>
      </c>
      <c r="C57" s="481">
        <f>INPUT!CO18</f>
        <v>-0.691624579055492</v>
      </c>
      <c r="D57" s="184">
        <f>MAX(INPUT!CF18-INPUT!J18,INPUT!CG18-INPUT!L18)</f>
        <v>1485.9916938948841</v>
      </c>
      <c r="E57" s="184">
        <f>IF(INPUT!CF18-INPUT!J18&gt;=INPUT!CG18-INPUT!L18,INPUT!H18*INPUT!I18*INPUT!J18,INPUT!K18*INPUT!L18)</f>
        <v>23235.974822151198</v>
      </c>
      <c r="F57" s="184">
        <f>INPUT!O18</f>
        <v>12</v>
      </c>
      <c r="G57" s="131">
        <f>2*D57*F57/E57</f>
        <v>1.5348527843763364</v>
      </c>
      <c r="H57" s="184">
        <f>MAX(INPUT!AO18,ABS(B57),ABS(C57))</f>
        <v>380</v>
      </c>
      <c r="I57" s="131">
        <f>MIN(INPUT!AQ18/H57,1)</f>
        <v>0.93421052631578949</v>
      </c>
      <c r="J57" s="482">
        <f>IF(INPUT!AQ18&gt;=INPUT!AO18,1,(12+G57*(3*I57-I57^3))/(12+2*G57))</f>
        <v>0.9987065011286681</v>
      </c>
      <c r="K57" s="195">
        <f>0.95*J57*INPUT!AO18</f>
        <v>360.53304690744915</v>
      </c>
      <c r="L57" s="131">
        <f>0.95*J57*INPUT!AP18</f>
        <v>360.53304690744915</v>
      </c>
      <c r="M57" s="201" t="str">
        <f>IF(ABS(B57)&lt;=K57,"OK","NG")</f>
        <v>OK</v>
      </c>
      <c r="N57" s="203" t="str">
        <f>IF(ABS(C57)&lt;=L57,"OK","NG")</f>
        <v>OK</v>
      </c>
    </row>
    <row r="58">
      <c r="A58" s="182">
        <f>INPUT!D19</f>
        <v>101</v>
      </c>
      <c r="B58" s="481">
        <f>INPUT!CN19</f>
        <v>0.73050782555113025</v>
      </c>
      <c r="C58" s="481">
        <f>INPUT!CO19</f>
        <v>-0.691624579055492</v>
      </c>
      <c r="D58" s="184">
        <f>MAX(INPUT!CF19-INPUT!J19,INPUT!CG19-INPUT!L19)</f>
        <v>1485.9916938948841</v>
      </c>
      <c r="E58" s="184">
        <f>IF(INPUT!CF19-INPUT!J19&gt;=INPUT!CG19-INPUT!L19,INPUT!H19*INPUT!I19*INPUT!J19,INPUT!K19*INPUT!L19)</f>
        <v>23235.974822151198</v>
      </c>
      <c r="F58" s="184">
        <f>INPUT!O19</f>
        <v>12</v>
      </c>
      <c r="G58" s="131">
        <f>2*D58*F58/E58</f>
        <v>1.5348527843763364</v>
      </c>
      <c r="H58" s="184">
        <f>MAX(INPUT!AO19,ABS(B58),ABS(C58))</f>
        <v>380</v>
      </c>
      <c r="I58" s="131">
        <f>MIN(INPUT!AQ19/H58,1)</f>
        <v>0.93421052631578949</v>
      </c>
      <c r="J58" s="482">
        <f>IF(INPUT!AQ19&gt;=INPUT!AO19,1,(12+G58*(3*I58-I58^3))/(12+2*G58))</f>
        <v>0.9987065011286681</v>
      </c>
      <c r="K58" s="195">
        <f>0.95*J58*INPUT!AO19</f>
        <v>360.53304690744915</v>
      </c>
      <c r="L58" s="131">
        <f>0.95*J58*INPUT!AP19</f>
        <v>360.53304690744915</v>
      </c>
      <c r="M58" s="201" t="str">
        <f>IF(ABS(B58)&lt;=K58,"OK","NG")</f>
        <v>OK</v>
      </c>
      <c r="N58" s="203" t="str">
        <f>IF(ABS(C58)&lt;=L58,"OK","NG")</f>
        <v>OK</v>
      </c>
    </row>
    <row r="59">
      <c r="A59" s="182">
        <f>INPUT!D20</f>
        <v>101</v>
      </c>
      <c r="B59" s="481">
        <f>INPUT!CN20</f>
        <v>0.73050782555113025</v>
      </c>
      <c r="C59" s="481">
        <f>INPUT!CO20</f>
        <v>-0.691624579055492</v>
      </c>
      <c r="D59" s="184">
        <f>MAX(INPUT!CF20-INPUT!J20,INPUT!CG20-INPUT!L20)</f>
        <v>1485.9916938948841</v>
      </c>
      <c r="E59" s="184">
        <f>IF(INPUT!CF20-INPUT!J20&gt;=INPUT!CG20-INPUT!L20,INPUT!H20*INPUT!I20*INPUT!J20,INPUT!K20*INPUT!L20)</f>
        <v>23235.974822151198</v>
      </c>
      <c r="F59" s="184">
        <f>INPUT!O20</f>
        <v>12</v>
      </c>
      <c r="G59" s="131">
        <f>2*D59*F59/E59</f>
        <v>1.5348527843763364</v>
      </c>
      <c r="H59" s="184">
        <f>MAX(INPUT!AO20,ABS(B59),ABS(C59))</f>
        <v>380</v>
      </c>
      <c r="I59" s="131">
        <f>MIN(INPUT!AQ20/H59,1)</f>
        <v>0.93421052631578949</v>
      </c>
      <c r="J59" s="482">
        <f>IF(INPUT!AQ20&gt;=INPUT!AO20,1,(12+G59*(3*I59-I59^3))/(12+2*G59))</f>
        <v>0.9987065011286681</v>
      </c>
      <c r="K59" s="195">
        <f>0.95*J59*INPUT!AO20</f>
        <v>360.53304690744915</v>
      </c>
      <c r="L59" s="131">
        <f>0.95*J59*INPUT!AP20</f>
        <v>360.53304690744915</v>
      </c>
      <c r="M59" s="201" t="str">
        <f>IF(ABS(B59)&lt;=K59,"OK","NG")</f>
        <v>OK</v>
      </c>
      <c r="N59" s="203" t="str">
        <f>IF(ABS(C59)&lt;=L59,"OK","NG")</f>
        <v>OK</v>
      </c>
    </row>
    <row r="60">
      <c r="A60" s="182">
        <f>INPUT!D21</f>
        <v>101</v>
      </c>
      <c r="B60" s="481">
        <f>INPUT!CN21</f>
        <v>0.73050782555113025</v>
      </c>
      <c r="C60" s="481">
        <f>INPUT!CO21</f>
        <v>-0.691624579055492</v>
      </c>
      <c r="D60" s="184">
        <f>MAX(INPUT!CF21-INPUT!J21,INPUT!CG21-INPUT!L21)</f>
        <v>1485.9916938948841</v>
      </c>
      <c r="E60" s="184">
        <f>IF(INPUT!CF21-INPUT!J21&gt;=INPUT!CG21-INPUT!L21,INPUT!H21*INPUT!I21*INPUT!J21,INPUT!K21*INPUT!L21)</f>
        <v>23235.974822151198</v>
      </c>
      <c r="F60" s="184">
        <f>INPUT!O21</f>
        <v>12</v>
      </c>
      <c r="G60" s="131">
        <f>2*D60*F60/E60</f>
        <v>1.5348527843763364</v>
      </c>
      <c r="H60" s="184">
        <f>MAX(INPUT!AO21,ABS(B60),ABS(C60))</f>
        <v>380</v>
      </c>
      <c r="I60" s="131">
        <f>MIN(INPUT!AQ21/H60,1)</f>
        <v>0.93421052631578949</v>
      </c>
      <c r="J60" s="482">
        <f>IF(INPUT!AQ21&gt;=INPUT!AO21,1,(12+G60*(3*I60-I60^3))/(12+2*G60))</f>
        <v>0.9987065011286681</v>
      </c>
      <c r="K60" s="195">
        <f>0.95*J60*INPUT!AO21</f>
        <v>360.53304690744915</v>
      </c>
      <c r="L60" s="131">
        <f>0.95*J60*INPUT!AP21</f>
        <v>360.53304690744915</v>
      </c>
      <c r="M60" s="201" t="str">
        <f>IF(ABS(B60)&lt;=K60,"OK","NG")</f>
        <v>OK</v>
      </c>
      <c r="N60" s="203" t="str">
        <f>IF(ABS(C60)&lt;=L60,"OK","NG")</f>
        <v>OK</v>
      </c>
    </row>
    <row r="61">
      <c r="A61" s="182">
        <f>INPUT!D22</f>
        <v>101</v>
      </c>
      <c r="B61" s="481">
        <f>INPUT!CN22</f>
        <v>0.73050782555113025</v>
      </c>
      <c r="C61" s="481">
        <f>INPUT!CO22</f>
        <v>-0.691624579055492</v>
      </c>
      <c r="D61" s="184">
        <f>MAX(INPUT!CF22-INPUT!J22,INPUT!CG22-INPUT!L22)</f>
        <v>1485.9916938948841</v>
      </c>
      <c r="E61" s="184">
        <f>IF(INPUT!CF22-INPUT!J22&gt;=INPUT!CG22-INPUT!L22,INPUT!H22*INPUT!I22*INPUT!J22,INPUT!K22*INPUT!L22)</f>
        <v>23235.974822151198</v>
      </c>
      <c r="F61" s="184">
        <f>INPUT!O22</f>
        <v>12</v>
      </c>
      <c r="G61" s="131">
        <f>2*D61*F61/E61</f>
        <v>1.5348527843763364</v>
      </c>
      <c r="H61" s="184">
        <f>MAX(INPUT!AO22,ABS(B61),ABS(C61))</f>
        <v>380</v>
      </c>
      <c r="I61" s="131">
        <f>MIN(INPUT!AQ22/H61,1)</f>
        <v>0.93421052631578949</v>
      </c>
      <c r="J61" s="482">
        <f>IF(INPUT!AQ22&gt;=INPUT!AO22,1,(12+G61*(3*I61-I61^3))/(12+2*G61))</f>
        <v>0.9987065011286681</v>
      </c>
      <c r="K61" s="195">
        <f>0.95*J61*INPUT!AO22</f>
        <v>360.53304690744915</v>
      </c>
      <c r="L61" s="131">
        <f>0.95*J61*INPUT!AP22</f>
        <v>360.53304690744915</v>
      </c>
      <c r="M61" s="201" t="str">
        <f>IF(ABS(B61)&lt;=K61,"OK","NG")</f>
        <v>OK</v>
      </c>
      <c r="N61" s="203" t="str">
        <f>IF(ABS(C61)&lt;=L61,"OK","NG")</f>
        <v>OK</v>
      </c>
    </row>
    <row r="62">
      <c r="A62" s="182">
        <f>INPUT!D23</f>
        <v>101</v>
      </c>
      <c r="B62" s="481">
        <f>INPUT!CN23</f>
        <v>0.73050782555113025</v>
      </c>
      <c r="C62" s="481">
        <f>INPUT!CO23</f>
        <v>-0.691624579055492</v>
      </c>
      <c r="D62" s="184">
        <f>MAX(INPUT!CF23-INPUT!J23,INPUT!CG23-INPUT!L23)</f>
        <v>1485.9916938948841</v>
      </c>
      <c r="E62" s="184">
        <f>IF(INPUT!CF23-INPUT!J23&gt;=INPUT!CG23-INPUT!L23,INPUT!H23*INPUT!I23*INPUT!J23,INPUT!K23*INPUT!L23)</f>
        <v>23235.974822151198</v>
      </c>
      <c r="F62" s="184">
        <f>INPUT!O23</f>
        <v>12</v>
      </c>
      <c r="G62" s="131">
        <f>2*D62*F62/E62</f>
        <v>1.5348527843763364</v>
      </c>
      <c r="H62" s="184">
        <f>MAX(INPUT!AO23,ABS(B62),ABS(C62))</f>
        <v>380</v>
      </c>
      <c r="I62" s="131">
        <f>MIN(INPUT!AQ23/H62,1)</f>
        <v>0.93421052631578949</v>
      </c>
      <c r="J62" s="482">
        <f>IF(INPUT!AQ23&gt;=INPUT!AO23,1,(12+G62*(3*I62-I62^3))/(12+2*G62))</f>
        <v>0.9987065011286681</v>
      </c>
      <c r="K62" s="195">
        <f>0.95*J62*INPUT!AO23</f>
        <v>360.53304690744915</v>
      </c>
      <c r="L62" s="131">
        <f>0.95*J62*INPUT!AP23</f>
        <v>360.53304690744915</v>
      </c>
      <c r="M62" s="201" t="str">
        <f>IF(ABS(B62)&lt;=K62,"OK","NG")</f>
        <v>OK</v>
      </c>
      <c r="N62" s="203" t="str">
        <f>IF(ABS(C62)&lt;=L62,"OK","NG")</f>
        <v>OK</v>
      </c>
    </row>
    <row r="63">
      <c r="A63" s="182">
        <f>INPUT!D24</f>
        <v>101</v>
      </c>
      <c r="B63" s="481">
        <f>INPUT!CN24</f>
        <v>0.73050782555113025</v>
      </c>
      <c r="C63" s="481">
        <f>INPUT!CO24</f>
        <v>-0.691624579055492</v>
      </c>
      <c r="D63" s="184">
        <f>MAX(INPUT!CF24-INPUT!J24,INPUT!CG24-INPUT!L24)</f>
        <v>1485.9916938948841</v>
      </c>
      <c r="E63" s="184">
        <f>IF(INPUT!CF24-INPUT!J24&gt;=INPUT!CG24-INPUT!L24,INPUT!H24*INPUT!I24*INPUT!J24,INPUT!K24*INPUT!L24)</f>
        <v>23235.974822151198</v>
      </c>
      <c r="F63" s="184">
        <f>INPUT!O24</f>
        <v>12</v>
      </c>
      <c r="G63" s="131">
        <f>2*D63*F63/E63</f>
        <v>1.5348527843763364</v>
      </c>
      <c r="H63" s="184">
        <f>MAX(INPUT!AO24,ABS(B63),ABS(C63))</f>
        <v>380</v>
      </c>
      <c r="I63" s="131">
        <f>MIN(INPUT!AQ24/H63,1)</f>
        <v>0.93421052631578949</v>
      </c>
      <c r="J63" s="482">
        <f>IF(INPUT!AQ24&gt;=INPUT!AO24,1,(12+G63*(3*I63-I63^3))/(12+2*G63))</f>
        <v>0.9987065011286681</v>
      </c>
      <c r="K63" s="195">
        <f>0.95*J63*INPUT!AO24</f>
        <v>360.53304690744915</v>
      </c>
      <c r="L63" s="131">
        <f>0.95*J63*INPUT!AP24</f>
        <v>360.53304690744915</v>
      </c>
      <c r="M63" s="201" t="str">
        <f>IF(ABS(B63)&lt;=K63,"OK","NG")</f>
        <v>OK</v>
      </c>
      <c r="N63" s="203" t="str">
        <f>IF(ABS(C63)&lt;=L63,"OK","NG")</f>
        <v>OK</v>
      </c>
    </row>
    <row r="64">
      <c r="A64" s="182">
        <f>INPUT!D25</f>
        <v>101</v>
      </c>
      <c r="B64" s="481">
        <f>INPUT!CN25</f>
        <v>0.73050782555113025</v>
      </c>
      <c r="C64" s="481">
        <f>INPUT!CO25</f>
        <v>-0.691624579055492</v>
      </c>
      <c r="D64" s="184">
        <f>MAX(INPUT!CF25-INPUT!J25,INPUT!CG25-INPUT!L25)</f>
        <v>1485.9916938948841</v>
      </c>
      <c r="E64" s="184">
        <f>IF(INPUT!CF25-INPUT!J25&gt;=INPUT!CG25-INPUT!L25,INPUT!H25*INPUT!I25*INPUT!J25,INPUT!K25*INPUT!L25)</f>
        <v>23235.974822151198</v>
      </c>
      <c r="F64" s="184">
        <f>INPUT!O25</f>
        <v>12</v>
      </c>
      <c r="G64" s="131">
        <f>2*D64*F64/E64</f>
        <v>1.5348527843763364</v>
      </c>
      <c r="H64" s="184">
        <f>MAX(INPUT!AO25,ABS(B64),ABS(C64))</f>
        <v>380</v>
      </c>
      <c r="I64" s="131">
        <f>MIN(INPUT!AQ25/H64,1)</f>
        <v>0.93421052631578949</v>
      </c>
      <c r="J64" s="482">
        <f>IF(INPUT!AQ25&gt;=INPUT!AO25,1,(12+G64*(3*I64-I64^3))/(12+2*G64))</f>
        <v>0.9987065011286681</v>
      </c>
      <c r="K64" s="195">
        <f>0.95*J64*INPUT!AO25</f>
        <v>360.53304690744915</v>
      </c>
      <c r="L64" s="131">
        <f>0.95*J64*INPUT!AP25</f>
        <v>360.53304690744915</v>
      </c>
      <c r="M64" s="201" t="str">
        <f>IF(ABS(B64)&lt;=K64,"OK","NG")</f>
        <v>OK</v>
      </c>
      <c r="N64" s="203" t="str">
        <f>IF(ABS(C64)&lt;=L64,"OK","NG")</f>
        <v>OK</v>
      </c>
    </row>
    <row r="65">
      <c r="A65" s="182">
        <f>INPUT!D26</f>
        <v>101</v>
      </c>
      <c r="B65" s="481">
        <f>INPUT!CN26</f>
        <v>0.73050782555113025</v>
      </c>
      <c r="C65" s="481">
        <f>INPUT!CO26</f>
        <v>-0.691624579055492</v>
      </c>
      <c r="D65" s="184">
        <f>MAX(INPUT!CF26-INPUT!J26,INPUT!CG26-INPUT!L26)</f>
        <v>1485.9916938948841</v>
      </c>
      <c r="E65" s="184">
        <f>IF(INPUT!CF26-INPUT!J26&gt;=INPUT!CG26-INPUT!L26,INPUT!H26*INPUT!I26*INPUT!J26,INPUT!K26*INPUT!L26)</f>
        <v>23235.974822151198</v>
      </c>
      <c r="F65" s="184">
        <f>INPUT!O26</f>
        <v>12</v>
      </c>
      <c r="G65" s="131">
        <f>2*D65*F65/E65</f>
        <v>1.5348527843763364</v>
      </c>
      <c r="H65" s="184">
        <f>MAX(INPUT!AO26,ABS(B65),ABS(C65))</f>
        <v>380</v>
      </c>
      <c r="I65" s="131">
        <f>MIN(INPUT!AQ26/H65,1)</f>
        <v>0.93421052631578949</v>
      </c>
      <c r="J65" s="482">
        <f>IF(INPUT!AQ26&gt;=INPUT!AO26,1,(12+G65*(3*I65-I65^3))/(12+2*G65))</f>
        <v>0.9987065011286681</v>
      </c>
      <c r="K65" s="195">
        <f>0.95*J65*INPUT!AO26</f>
        <v>360.53304690744915</v>
      </c>
      <c r="L65" s="131">
        <f>0.95*J65*INPUT!AP26</f>
        <v>360.53304690744915</v>
      </c>
      <c r="M65" s="201" t="str">
        <f>IF(ABS(B65)&lt;=K65,"OK","NG")</f>
        <v>OK</v>
      </c>
      <c r="N65" s="203" t="str">
        <f>IF(ABS(C65)&lt;=L65,"OK","NG")</f>
        <v>OK</v>
      </c>
    </row>
    <row r="66">
      <c r="A66" s="182">
        <f>INPUT!D27</f>
        <v>101</v>
      </c>
      <c r="B66" s="481">
        <f>INPUT!CN27</f>
        <v>0.73050782555113025</v>
      </c>
      <c r="C66" s="481">
        <f>INPUT!CO27</f>
        <v>-0.691624579055492</v>
      </c>
      <c r="D66" s="184">
        <f>MAX(INPUT!CF27-INPUT!J27,INPUT!CG27-INPUT!L27)</f>
        <v>1485.9916938948841</v>
      </c>
      <c r="E66" s="184">
        <f>IF(INPUT!CF27-INPUT!J27&gt;=INPUT!CG27-INPUT!L27,INPUT!H27*INPUT!I27*INPUT!J27,INPUT!K27*INPUT!L27)</f>
        <v>23235.974822151198</v>
      </c>
      <c r="F66" s="184">
        <f>INPUT!O27</f>
        <v>12</v>
      </c>
      <c r="G66" s="131">
        <f>2*D66*F66/E66</f>
        <v>1.5348527843763364</v>
      </c>
      <c r="H66" s="184">
        <f>MAX(INPUT!AO27,ABS(B66),ABS(C66))</f>
        <v>380</v>
      </c>
      <c r="I66" s="131">
        <f>MIN(INPUT!AQ27/H66,1)</f>
        <v>0.93421052631578949</v>
      </c>
      <c r="J66" s="482">
        <f>IF(INPUT!AQ27&gt;=INPUT!AO27,1,(12+G66*(3*I66-I66^3))/(12+2*G66))</f>
        <v>0.9987065011286681</v>
      </c>
      <c r="K66" s="195">
        <f>0.95*J66*INPUT!AO27</f>
        <v>360.53304690744915</v>
      </c>
      <c r="L66" s="131">
        <f>0.95*J66*INPUT!AP27</f>
        <v>360.53304690744915</v>
      </c>
      <c r="M66" s="201" t="str">
        <f>IF(ABS(B66)&lt;=K66,"OK","NG")</f>
        <v>OK</v>
      </c>
      <c r="N66" s="203" t="str">
        <f>IF(ABS(C66)&lt;=L66,"OK","NG")</f>
        <v>OK</v>
      </c>
    </row>
    <row r="67">
      <c r="A67" s="182">
        <f>INPUT!D28</f>
        <v>101</v>
      </c>
      <c r="B67" s="481">
        <f>INPUT!CN28</f>
        <v>0.73050782555113025</v>
      </c>
      <c r="C67" s="481">
        <f>INPUT!CO28</f>
        <v>-0.691624579055492</v>
      </c>
      <c r="D67" s="184">
        <f>MAX(INPUT!CF28-INPUT!J28,INPUT!CG28-INPUT!L28)</f>
        <v>1485.9916938948841</v>
      </c>
      <c r="E67" s="184">
        <f>IF(INPUT!CF28-INPUT!J28&gt;=INPUT!CG28-INPUT!L28,INPUT!H28*INPUT!I28*INPUT!J28,INPUT!K28*INPUT!L28)</f>
        <v>23235.974822151198</v>
      </c>
      <c r="F67" s="184">
        <f>INPUT!O28</f>
        <v>12</v>
      </c>
      <c r="G67" s="131">
        <f>2*D67*F67/E67</f>
        <v>1.5348527843763364</v>
      </c>
      <c r="H67" s="184">
        <f>MAX(INPUT!AO28,ABS(B67),ABS(C67))</f>
        <v>380</v>
      </c>
      <c r="I67" s="131">
        <f>MIN(INPUT!AQ28/H67,1)</f>
        <v>0.93421052631578949</v>
      </c>
      <c r="J67" s="482">
        <f>IF(INPUT!AQ28&gt;=INPUT!AO28,1,(12+G67*(3*I67-I67^3))/(12+2*G67))</f>
        <v>0.9987065011286681</v>
      </c>
      <c r="K67" s="195">
        <f>0.95*J67*INPUT!AO28</f>
        <v>360.53304690744915</v>
      </c>
      <c r="L67" s="131">
        <f>0.95*J67*INPUT!AP28</f>
        <v>360.53304690744915</v>
      </c>
      <c r="M67" s="201" t="str">
        <f>IF(ABS(B67)&lt;=K67,"OK","NG")</f>
        <v>OK</v>
      </c>
      <c r="N67" s="203" t="str">
        <f>IF(ABS(C67)&lt;=L67,"OK","NG")</f>
        <v>OK</v>
      </c>
    </row>
    <row r="68">
      <c r="A68" s="182">
        <f>INPUT!D29</f>
        <v>101</v>
      </c>
      <c r="B68" s="481">
        <f>INPUT!CN29</f>
        <v>0.73050782555113025</v>
      </c>
      <c r="C68" s="481">
        <f>INPUT!CO29</f>
        <v>-0.691624579055492</v>
      </c>
      <c r="D68" s="184">
        <f>MAX(INPUT!CF29-INPUT!J29,INPUT!CG29-INPUT!L29)</f>
        <v>1485.9916938948841</v>
      </c>
      <c r="E68" s="184">
        <f>IF(INPUT!CF29-INPUT!J29&gt;=INPUT!CG29-INPUT!L29,INPUT!H29*INPUT!I29*INPUT!J29,INPUT!K29*INPUT!L29)</f>
        <v>23235.974822151198</v>
      </c>
      <c r="F68" s="184">
        <f>INPUT!O29</f>
        <v>12</v>
      </c>
      <c r="G68" s="131">
        <f>2*D68*F68/E68</f>
        <v>1.5348527843763364</v>
      </c>
      <c r="H68" s="184">
        <f>MAX(INPUT!AO29,ABS(B68),ABS(C68))</f>
        <v>380</v>
      </c>
      <c r="I68" s="131">
        <f>MIN(INPUT!AQ29/H68,1)</f>
        <v>0.93421052631578949</v>
      </c>
      <c r="J68" s="482">
        <f>IF(INPUT!AQ29&gt;=INPUT!AO29,1,(12+G68*(3*I68-I68^3))/(12+2*G68))</f>
        <v>0.9987065011286681</v>
      </c>
      <c r="K68" s="195">
        <f>0.95*J68*INPUT!AO29</f>
        <v>360.53304690744915</v>
      </c>
      <c r="L68" s="131">
        <f>0.95*J68*INPUT!AP29</f>
        <v>360.53304690744915</v>
      </c>
      <c r="M68" s="201" t="str">
        <f>IF(ABS(B68)&lt;=K68,"OK","NG")</f>
        <v>OK</v>
      </c>
      <c r="N68" s="203" t="str">
        <f>IF(ABS(C68)&lt;=L68,"OK","NG")</f>
        <v>OK</v>
      </c>
    </row>
    <row r="69">
      <c r="A69" s="182">
        <f>INPUT!D30</f>
        <v>101</v>
      </c>
      <c r="B69" s="481">
        <f>INPUT!CN30</f>
        <v>0.73050782555113025</v>
      </c>
      <c r="C69" s="481">
        <f>INPUT!CO30</f>
        <v>-0.691624579055492</v>
      </c>
      <c r="D69" s="184">
        <f>MAX(INPUT!CF30-INPUT!J30,INPUT!CG30-INPUT!L30)</f>
        <v>1485.9916938948841</v>
      </c>
      <c r="E69" s="184">
        <f>IF(INPUT!CF30-INPUT!J30&gt;=INPUT!CG30-INPUT!L30,INPUT!H30*INPUT!I30*INPUT!J30,INPUT!K30*INPUT!L30)</f>
        <v>23235.974822151198</v>
      </c>
      <c r="F69" s="184">
        <f>INPUT!O30</f>
        <v>12</v>
      </c>
      <c r="G69" s="131">
        <f>2*D69*F69/E69</f>
        <v>1.5348527843763364</v>
      </c>
      <c r="H69" s="184">
        <f>MAX(INPUT!AO30,ABS(B69),ABS(C69))</f>
        <v>380</v>
      </c>
      <c r="I69" s="131">
        <f>MIN(INPUT!AQ30/H69,1)</f>
        <v>0.93421052631578949</v>
      </c>
      <c r="J69" s="482">
        <f>IF(INPUT!AQ30&gt;=INPUT!AO30,1,(12+G69*(3*I69-I69^3))/(12+2*G69))</f>
        <v>0.9987065011286681</v>
      </c>
      <c r="K69" s="195">
        <f>0.95*J69*INPUT!AO30</f>
        <v>360.53304690744915</v>
      </c>
      <c r="L69" s="131">
        <f>0.95*J69*INPUT!AP30</f>
        <v>360.53304690744915</v>
      </c>
      <c r="M69" s="201" t="str">
        <f>IF(ABS(B69)&lt;=K69,"OK","NG")</f>
        <v>OK</v>
      </c>
      <c r="N69" s="203" t="str">
        <f>IF(ABS(C69)&lt;=L69,"OK","NG")</f>
        <v>OK</v>
      </c>
    </row>
    <row r="70">
      <c r="A70" s="182">
        <f>INPUT!D31</f>
        <v>101</v>
      </c>
      <c r="B70" s="481">
        <f>INPUT!CN31</f>
        <v>0.73050782555113025</v>
      </c>
      <c r="C70" s="481">
        <f>INPUT!CO31</f>
        <v>-0.691624579055492</v>
      </c>
      <c r="D70" s="184">
        <f>MAX(INPUT!CF31-INPUT!J31,INPUT!CG31-INPUT!L31)</f>
        <v>1485.9916938948841</v>
      </c>
      <c r="E70" s="184">
        <f>IF(INPUT!CF31-INPUT!J31&gt;=INPUT!CG31-INPUT!L31,INPUT!H31*INPUT!I31*INPUT!J31,INPUT!K31*INPUT!L31)</f>
        <v>23235.974822151198</v>
      </c>
      <c r="F70" s="184">
        <f>INPUT!O31</f>
        <v>12</v>
      </c>
      <c r="G70" s="131">
        <f>2*D70*F70/E70</f>
        <v>1.5348527843763364</v>
      </c>
      <c r="H70" s="184">
        <f>MAX(INPUT!AO31,ABS(B70),ABS(C70))</f>
        <v>380</v>
      </c>
      <c r="I70" s="131">
        <f>MIN(INPUT!AQ31/H70,1)</f>
        <v>0.93421052631578949</v>
      </c>
      <c r="J70" s="482">
        <f>IF(INPUT!AQ31&gt;=INPUT!AO31,1,(12+G70*(3*I70-I70^3))/(12+2*G70))</f>
        <v>0.9987065011286681</v>
      </c>
      <c r="K70" s="195">
        <f>0.95*J70*INPUT!AO31</f>
        <v>360.53304690744915</v>
      </c>
      <c r="L70" s="131">
        <f>0.95*J70*INPUT!AP31</f>
        <v>360.53304690744915</v>
      </c>
      <c r="M70" s="201" t="str">
        <f>IF(ABS(B70)&lt;=K70,"OK","NG")</f>
        <v>OK</v>
      </c>
      <c r="N70" s="203" t="str">
        <f>IF(ABS(C70)&lt;=L70,"OK","NG")</f>
        <v>OK</v>
      </c>
    </row>
    <row r="71">
      <c r="A71" s="182">
        <f>INPUT!D32</f>
        <v>101</v>
      </c>
      <c r="B71" s="481">
        <f>INPUT!CN32</f>
        <v>0.73050782555113025</v>
      </c>
      <c r="C71" s="481">
        <f>INPUT!CO32</f>
        <v>-0.691624579055492</v>
      </c>
      <c r="D71" s="184">
        <f>MAX(INPUT!CF32-INPUT!J32,INPUT!CG32-INPUT!L32)</f>
        <v>1485.9916938948841</v>
      </c>
      <c r="E71" s="184">
        <f>IF(INPUT!CF32-INPUT!J32&gt;=INPUT!CG32-INPUT!L32,INPUT!H32*INPUT!I32*INPUT!J32,INPUT!K32*INPUT!L32)</f>
        <v>23235.974822151198</v>
      </c>
      <c r="F71" s="184">
        <f>INPUT!O32</f>
        <v>12</v>
      </c>
      <c r="G71" s="131">
        <f>2*D71*F71/E71</f>
        <v>1.5348527843763364</v>
      </c>
      <c r="H71" s="184">
        <f>MAX(INPUT!AO32,ABS(B71),ABS(C71))</f>
        <v>380</v>
      </c>
      <c r="I71" s="131">
        <f>MIN(INPUT!AQ32/H71,1)</f>
        <v>0.93421052631578949</v>
      </c>
      <c r="J71" s="482">
        <f>IF(INPUT!AQ32&gt;=INPUT!AO32,1,(12+G71*(3*I71-I71^3))/(12+2*G71))</f>
        <v>0.9987065011286681</v>
      </c>
      <c r="K71" s="195">
        <f>0.95*J71*INPUT!AO32</f>
        <v>360.53304690744915</v>
      </c>
      <c r="L71" s="131">
        <f>0.95*J71*INPUT!AP32</f>
        <v>360.53304690744915</v>
      </c>
      <c r="M71" s="201" t="str">
        <f>IF(ABS(B71)&lt;=K71,"OK","NG")</f>
        <v>OK</v>
      </c>
      <c r="N71" s="203" t="str">
        <f>IF(ABS(C71)&lt;=L71,"OK","NG")</f>
        <v>OK</v>
      </c>
    </row>
    <row r="72">
      <c r="A72" s="182">
        <f>INPUT!D33</f>
        <v>101</v>
      </c>
      <c r="B72" s="481">
        <f>INPUT!CN33</f>
        <v>0.73050782555113025</v>
      </c>
      <c r="C72" s="481">
        <f>INPUT!CO33</f>
        <v>-0.691624579055492</v>
      </c>
      <c r="D72" s="184">
        <f>MAX(INPUT!CF33-INPUT!J33,INPUT!CG33-INPUT!L33)</f>
        <v>1485.9916938948841</v>
      </c>
      <c r="E72" s="184">
        <f>IF(INPUT!CF33-INPUT!J33&gt;=INPUT!CG33-INPUT!L33,INPUT!H33*INPUT!I33*INPUT!J33,INPUT!K33*INPUT!L33)</f>
        <v>23235.974822151198</v>
      </c>
      <c r="F72" s="184">
        <f>INPUT!O33</f>
        <v>12</v>
      </c>
      <c r="G72" s="131">
        <f>2*D72*F72/E72</f>
        <v>1.5348527843763364</v>
      </c>
      <c r="H72" s="184">
        <f>MAX(INPUT!AO33,ABS(B72),ABS(C72))</f>
        <v>380</v>
      </c>
      <c r="I72" s="131">
        <f>MIN(INPUT!AQ33/H72,1)</f>
        <v>0.93421052631578949</v>
      </c>
      <c r="J72" s="482">
        <f>IF(INPUT!AQ33&gt;=INPUT!AO33,1,(12+G72*(3*I72-I72^3))/(12+2*G72))</f>
        <v>0.9987065011286681</v>
      </c>
      <c r="K72" s="195">
        <f>0.95*J72*INPUT!AO33</f>
        <v>360.53304690744915</v>
      </c>
      <c r="L72" s="131">
        <f>0.95*J72*INPUT!AP33</f>
        <v>360.53304690744915</v>
      </c>
      <c r="M72" s="201" t="str">
        <f>IF(ABS(B72)&lt;=K72,"OK","NG")</f>
        <v>OK</v>
      </c>
      <c r="N72" s="203" t="str">
        <f>IF(ABS(C72)&lt;=L72,"OK","NG")</f>
        <v>OK</v>
      </c>
    </row>
    <row r="73">
      <c r="A73" s="182">
        <f>INPUT!D34</f>
        <v>101</v>
      </c>
      <c r="B73" s="481">
        <f>INPUT!CN34</f>
        <v>0.73050782555113025</v>
      </c>
      <c r="C73" s="481">
        <f>INPUT!CO34</f>
        <v>-0.691624579055492</v>
      </c>
      <c r="D73" s="184">
        <f>MAX(INPUT!CF34-INPUT!J34,INPUT!CG34-INPUT!L34)</f>
        <v>1485.9916938948841</v>
      </c>
      <c r="E73" s="184">
        <f>IF(INPUT!CF34-INPUT!J34&gt;=INPUT!CG34-INPUT!L34,INPUT!H34*INPUT!I34*INPUT!J34,INPUT!K34*INPUT!L34)</f>
        <v>23235.974822151198</v>
      </c>
      <c r="F73" s="184">
        <f>INPUT!O34</f>
        <v>12</v>
      </c>
      <c r="G73" s="131">
        <f>2*D73*F73/E73</f>
        <v>1.5348527843763364</v>
      </c>
      <c r="H73" s="184">
        <f>MAX(INPUT!AO34,ABS(B73),ABS(C73))</f>
        <v>380</v>
      </c>
      <c r="I73" s="131">
        <f>MIN(INPUT!AQ34/H73,1)</f>
        <v>0.93421052631578949</v>
      </c>
      <c r="J73" s="482">
        <f>IF(INPUT!AQ34&gt;=INPUT!AO34,1,(12+G73*(3*I73-I73^3))/(12+2*G73))</f>
        <v>0.9987065011286681</v>
      </c>
      <c r="K73" s="195">
        <f>0.95*J73*INPUT!AO34</f>
        <v>360.53304690744915</v>
      </c>
      <c r="L73" s="131">
        <f>0.95*J73*INPUT!AP34</f>
        <v>360.53304690744915</v>
      </c>
      <c r="M73" s="201" t="str">
        <f>IF(ABS(B73)&lt;=K73,"OK","NG")</f>
        <v>OK</v>
      </c>
      <c r="N73" s="203" t="str">
        <f>IF(ABS(C73)&lt;=L73,"OK","NG")</f>
        <v>OK</v>
      </c>
    </row>
    <row r="74">
      <c r="A74" s="182">
        <f>INPUT!D35</f>
        <v>101</v>
      </c>
      <c r="B74" s="481">
        <f>INPUT!CN35</f>
        <v>0.73050782555113025</v>
      </c>
      <c r="C74" s="481">
        <f>INPUT!CO35</f>
        <v>-0.691624579055492</v>
      </c>
      <c r="D74" s="184">
        <f>MAX(INPUT!CF35-INPUT!J35,INPUT!CG35-INPUT!L35)</f>
        <v>1485.9916938948841</v>
      </c>
      <c r="E74" s="184">
        <f>IF(INPUT!CF35-INPUT!J35&gt;=INPUT!CG35-INPUT!L35,INPUT!H35*INPUT!I35*INPUT!J35,INPUT!K35*INPUT!L35)</f>
        <v>23235.974822151198</v>
      </c>
      <c r="F74" s="184">
        <f>INPUT!O35</f>
        <v>12</v>
      </c>
      <c r="G74" s="131">
        <f>2*D74*F74/E74</f>
        <v>1.5348527843763364</v>
      </c>
      <c r="H74" s="184">
        <f>MAX(INPUT!AO35,ABS(B74),ABS(C74))</f>
        <v>380</v>
      </c>
      <c r="I74" s="131">
        <f>MIN(INPUT!AQ35/H74,1)</f>
        <v>0.93421052631578949</v>
      </c>
      <c r="J74" s="482">
        <f>IF(INPUT!AQ35&gt;=INPUT!AO35,1,(12+G74*(3*I74-I74^3))/(12+2*G74))</f>
        <v>0.9987065011286681</v>
      </c>
      <c r="K74" s="195">
        <f>0.95*J74*INPUT!AO35</f>
        <v>360.53304690744915</v>
      </c>
      <c r="L74" s="131">
        <f>0.95*J74*INPUT!AP35</f>
        <v>360.53304690744915</v>
      </c>
      <c r="M74" s="201" t="str">
        <f>IF(ABS(B74)&lt;=K74,"OK","NG")</f>
        <v>OK</v>
      </c>
      <c r="N74" s="203" t="str">
        <f>IF(ABS(C74)&lt;=L74,"OK","NG")</f>
        <v>OK</v>
      </c>
    </row>
    <row r="75">
      <c r="A75" s="182">
        <f>INPUT!D36</f>
        <v>101</v>
      </c>
      <c r="B75" s="481">
        <f>INPUT!CN36</f>
        <v>0.73050782555113025</v>
      </c>
      <c r="C75" s="481">
        <f>INPUT!CO36</f>
        <v>-0.691624579055492</v>
      </c>
      <c r="D75" s="184">
        <f>MAX(INPUT!CF36-INPUT!J36,INPUT!CG36-INPUT!L36)</f>
        <v>1485.9916938948841</v>
      </c>
      <c r="E75" s="184">
        <f>IF(INPUT!CF36-INPUT!J36&gt;=INPUT!CG36-INPUT!L36,INPUT!H36*INPUT!I36*INPUT!J36,INPUT!K36*INPUT!L36)</f>
        <v>23235.974822151198</v>
      </c>
      <c r="F75" s="184">
        <f>INPUT!O36</f>
        <v>12</v>
      </c>
      <c r="G75" s="131">
        <f>2*D75*F75/E75</f>
        <v>1.5348527843763364</v>
      </c>
      <c r="H75" s="184">
        <f>MAX(INPUT!AO36,ABS(B75),ABS(C75))</f>
        <v>380</v>
      </c>
      <c r="I75" s="131">
        <f>MIN(INPUT!AQ36/H75,1)</f>
        <v>0.93421052631578949</v>
      </c>
      <c r="J75" s="482">
        <f>IF(INPUT!AQ36&gt;=INPUT!AO36,1,(12+G75*(3*I75-I75^3))/(12+2*G75))</f>
        <v>0.9987065011286681</v>
      </c>
      <c r="K75" s="195">
        <f>0.95*J75*INPUT!AO36</f>
        <v>360.53304690744915</v>
      </c>
      <c r="L75" s="131">
        <f>0.95*J75*INPUT!AP36</f>
        <v>360.53304690744915</v>
      </c>
      <c r="M75" s="201" t="str">
        <f>IF(ABS(B75)&lt;=K75,"OK","NG")</f>
        <v>OK</v>
      </c>
      <c r="N75" s="203" t="str">
        <f>IF(ABS(C75)&lt;=L75,"OK","NG")</f>
        <v>OK</v>
      </c>
    </row>
    <row r="76">
      <c r="A76" s="182">
        <f>INPUT!D37</f>
        <v>101</v>
      </c>
      <c r="B76" s="481">
        <f>INPUT!CN37</f>
        <v>0.73050782555113025</v>
      </c>
      <c r="C76" s="481">
        <f>INPUT!CO37</f>
        <v>-0.691624579055492</v>
      </c>
      <c r="D76" s="184">
        <f>MAX(INPUT!CF37-INPUT!J37,INPUT!CG37-INPUT!L37)</f>
        <v>1485.9916938948841</v>
      </c>
      <c r="E76" s="184">
        <f>IF(INPUT!CF37-INPUT!J37&gt;=INPUT!CG37-INPUT!L37,INPUT!H37*INPUT!I37*INPUT!J37,INPUT!K37*INPUT!L37)</f>
        <v>23235.974822151198</v>
      </c>
      <c r="F76" s="184">
        <f>INPUT!O37</f>
        <v>12</v>
      </c>
      <c r="G76" s="131">
        <f>2*D76*F76/E76</f>
        <v>1.5348527843763364</v>
      </c>
      <c r="H76" s="184">
        <f>MAX(INPUT!AO37,ABS(B76),ABS(C76))</f>
        <v>380</v>
      </c>
      <c r="I76" s="131">
        <f>MIN(INPUT!AQ37/H76,1)</f>
        <v>0.93421052631578949</v>
      </c>
      <c r="J76" s="482">
        <f>IF(INPUT!AQ37&gt;=INPUT!AO37,1,(12+G76*(3*I76-I76^3))/(12+2*G76))</f>
        <v>0.9987065011286681</v>
      </c>
      <c r="K76" s="195">
        <f>0.95*J76*INPUT!AO37</f>
        <v>360.53304690744915</v>
      </c>
      <c r="L76" s="131">
        <f>0.95*J76*INPUT!AP37</f>
        <v>360.53304690744915</v>
      </c>
      <c r="M76" s="201" t="str">
        <f>IF(ABS(B76)&lt;=K76,"OK","NG")</f>
        <v>OK</v>
      </c>
      <c r="N76" s="203" t="str">
        <f>IF(ABS(C76)&lt;=L76,"OK","NG")</f>
        <v>OK</v>
      </c>
    </row>
    <row r="77">
      <c r="A77" s="182">
        <f>INPUT!D38</f>
        <v>101</v>
      </c>
      <c r="B77" s="481">
        <f>INPUT!CN38</f>
        <v>0.73050782555113025</v>
      </c>
      <c r="C77" s="481">
        <f>INPUT!CO38</f>
        <v>-0.691624579055492</v>
      </c>
      <c r="D77" s="184">
        <f>MAX(INPUT!CF38-INPUT!J38,INPUT!CG38-INPUT!L38)</f>
        <v>1485.9916938948841</v>
      </c>
      <c r="E77" s="184">
        <f>IF(INPUT!CF38-INPUT!J38&gt;=INPUT!CG38-INPUT!L38,INPUT!H38*INPUT!I38*INPUT!J38,INPUT!K38*INPUT!L38)</f>
        <v>23235.974822151198</v>
      </c>
      <c r="F77" s="184">
        <f>INPUT!O38</f>
        <v>12</v>
      </c>
      <c r="G77" s="131">
        <f>2*D77*F77/E77</f>
        <v>1.5348527843763364</v>
      </c>
      <c r="H77" s="184">
        <f>MAX(INPUT!AO38,ABS(B77),ABS(C77))</f>
        <v>380</v>
      </c>
      <c r="I77" s="131">
        <f>MIN(INPUT!AQ38/H77,1)</f>
        <v>0.93421052631578949</v>
      </c>
      <c r="J77" s="482">
        <f>IF(INPUT!AQ38&gt;=INPUT!AO38,1,(12+G77*(3*I77-I77^3))/(12+2*G77))</f>
        <v>0.9987065011286681</v>
      </c>
      <c r="K77" s="195">
        <f>0.95*J77*INPUT!AO38</f>
        <v>360.53304690744915</v>
      </c>
      <c r="L77" s="131">
        <f>0.95*J77*INPUT!AP38</f>
        <v>360.53304690744915</v>
      </c>
      <c r="M77" s="201" t="str">
        <f>IF(ABS(B77)&lt;=K77,"OK","NG")</f>
        <v>OK</v>
      </c>
      <c r="N77" s="203" t="str">
        <f>IF(ABS(C77)&lt;=L77,"OK","NG")</f>
        <v>OK</v>
      </c>
    </row>
    <row r="78">
      <c r="A78" s="182">
        <f>INPUT!D39</f>
        <v>101</v>
      </c>
      <c r="B78" s="481">
        <f>INPUT!CN39</f>
        <v>0.73050782555113025</v>
      </c>
      <c r="C78" s="481">
        <f>INPUT!CO39</f>
        <v>-0.691624579055492</v>
      </c>
      <c r="D78" s="184">
        <f>MAX(INPUT!CF39-INPUT!J39,INPUT!CG39-INPUT!L39)</f>
        <v>1485.9916938948841</v>
      </c>
      <c r="E78" s="184">
        <f>IF(INPUT!CF39-INPUT!J39&gt;=INPUT!CG39-INPUT!L39,INPUT!H39*INPUT!I39*INPUT!J39,INPUT!K39*INPUT!L39)</f>
        <v>23235.974822151198</v>
      </c>
      <c r="F78" s="184">
        <f>INPUT!O39</f>
        <v>12</v>
      </c>
      <c r="G78" s="131">
        <f>2*D78*F78/E78</f>
        <v>1.5348527843763364</v>
      </c>
      <c r="H78" s="184">
        <f>MAX(INPUT!AO39,ABS(B78),ABS(C78))</f>
        <v>380</v>
      </c>
      <c r="I78" s="131">
        <f>MIN(INPUT!AQ39/H78,1)</f>
        <v>0.93421052631578949</v>
      </c>
      <c r="J78" s="482">
        <f>IF(INPUT!AQ39&gt;=INPUT!AO39,1,(12+G78*(3*I78-I78^3))/(12+2*G78))</f>
        <v>0.9987065011286681</v>
      </c>
      <c r="K78" s="195">
        <f>0.95*J78*INPUT!AO39</f>
        <v>360.53304690744915</v>
      </c>
      <c r="L78" s="131">
        <f>0.95*J78*INPUT!AP39</f>
        <v>360.53304690744915</v>
      </c>
      <c r="M78" s="201" t="str">
        <f>IF(ABS(B78)&lt;=K78,"OK","NG")</f>
        <v>OK</v>
      </c>
      <c r="N78" s="203" t="str">
        <f>IF(ABS(C78)&lt;=L78,"OK","NG")</f>
        <v>OK</v>
      </c>
    </row>
    <row r="79">
      <c r="A79" s="182">
        <f>INPUT!D40</f>
        <v>101</v>
      </c>
      <c r="B79" s="481">
        <f>INPUT!CN40</f>
        <v>0.73050782555113025</v>
      </c>
      <c r="C79" s="481">
        <f>INPUT!CO40</f>
        <v>-0.691624579055492</v>
      </c>
      <c r="D79" s="184">
        <f>MAX(INPUT!CF40-INPUT!J40,INPUT!CG40-INPUT!L40)</f>
        <v>1485.9916938948841</v>
      </c>
      <c r="E79" s="184">
        <f>IF(INPUT!CF40-INPUT!J40&gt;=INPUT!CG40-INPUT!L40,INPUT!H40*INPUT!I40*INPUT!J40,INPUT!K40*INPUT!L40)</f>
        <v>23235.974822151198</v>
      </c>
      <c r="F79" s="184">
        <f>INPUT!O40</f>
        <v>12</v>
      </c>
      <c r="G79" s="131">
        <f>2*D79*F79/E79</f>
        <v>1.5348527843763364</v>
      </c>
      <c r="H79" s="184">
        <f>MAX(INPUT!AO40,ABS(B79),ABS(C79))</f>
        <v>380</v>
      </c>
      <c r="I79" s="131">
        <f>MIN(INPUT!AQ40/H79,1)</f>
        <v>0.93421052631578949</v>
      </c>
      <c r="J79" s="482">
        <f>IF(INPUT!AQ40&gt;=INPUT!AO40,1,(12+G79*(3*I79-I79^3))/(12+2*G79))</f>
        <v>0.9987065011286681</v>
      </c>
      <c r="K79" s="195">
        <f>0.95*J79*INPUT!AO40</f>
        <v>360.53304690744915</v>
      </c>
      <c r="L79" s="131">
        <f>0.95*J79*INPUT!AP40</f>
        <v>360.53304690744915</v>
      </c>
      <c r="M79" s="201" t="str">
        <f>IF(ABS(B79)&lt;=K79,"OK","NG")</f>
        <v>OK</v>
      </c>
      <c r="N79" s="203" t="str">
        <f>IF(ABS(C79)&lt;=L79,"OK","NG")</f>
        <v>OK</v>
      </c>
    </row>
    <row r="80">
      <c r="A80" s="182">
        <f>INPUT!D41</f>
        <v>101</v>
      </c>
      <c r="B80" s="481">
        <f>INPUT!CN41</f>
        <v>0.73050782555113025</v>
      </c>
      <c r="C80" s="481">
        <f>INPUT!CO41</f>
        <v>-0.691624579055492</v>
      </c>
      <c r="D80" s="184">
        <f>MAX(INPUT!CF41-INPUT!J41,INPUT!CG41-INPUT!L41)</f>
        <v>1485.9916938948841</v>
      </c>
      <c r="E80" s="184">
        <f>IF(INPUT!CF41-INPUT!J41&gt;=INPUT!CG41-INPUT!L41,INPUT!H41*INPUT!I41*INPUT!J41,INPUT!K41*INPUT!L41)</f>
        <v>23235.974822151198</v>
      </c>
      <c r="F80" s="184">
        <f>INPUT!O41</f>
        <v>12</v>
      </c>
      <c r="G80" s="131">
        <f>2*D80*F80/E80</f>
        <v>1.5348527843763364</v>
      </c>
      <c r="H80" s="184">
        <f>MAX(INPUT!AO41,ABS(B80),ABS(C80))</f>
        <v>380</v>
      </c>
      <c r="I80" s="131">
        <f>MIN(INPUT!AQ41/H80,1)</f>
        <v>0.93421052631578949</v>
      </c>
      <c r="J80" s="482">
        <f>IF(INPUT!AQ41&gt;=INPUT!AO41,1,(12+G80*(3*I80-I80^3))/(12+2*G80))</f>
        <v>0.9987065011286681</v>
      </c>
      <c r="K80" s="195">
        <f>0.95*J80*INPUT!AO41</f>
        <v>360.53304690744915</v>
      </c>
      <c r="L80" s="131">
        <f>0.95*J80*INPUT!AP41</f>
        <v>360.53304690744915</v>
      </c>
      <c r="M80" s="201" t="str">
        <f>IF(ABS(B80)&lt;=K80,"OK","NG")</f>
        <v>OK</v>
      </c>
      <c r="N80" s="203" t="str">
        <f>IF(ABS(C80)&lt;=L80,"OK","NG")</f>
        <v>OK</v>
      </c>
    </row>
    <row r="81">
      <c r="A81" s="182">
        <f>INPUT!D42</f>
        <v>101</v>
      </c>
      <c r="B81" s="481">
        <f>INPUT!CN42</f>
        <v>0.73050782555113025</v>
      </c>
      <c r="C81" s="481">
        <f>INPUT!CO42</f>
        <v>-0.691624579055492</v>
      </c>
      <c r="D81" s="184">
        <f>MAX(INPUT!CF42-INPUT!J42,INPUT!CG42-INPUT!L42)</f>
        <v>1485.9916938948841</v>
      </c>
      <c r="E81" s="184">
        <f>IF(INPUT!CF42-INPUT!J42&gt;=INPUT!CG42-INPUT!L42,INPUT!H42*INPUT!I42*INPUT!J42,INPUT!K42*INPUT!L42)</f>
        <v>23235.974822151198</v>
      </c>
      <c r="F81" s="184">
        <f>INPUT!O42</f>
        <v>12</v>
      </c>
      <c r="G81" s="131">
        <f>2*D81*F81/E81</f>
        <v>1.5348527843763364</v>
      </c>
      <c r="H81" s="184">
        <f>MAX(INPUT!AO42,ABS(B81),ABS(C81))</f>
        <v>380</v>
      </c>
      <c r="I81" s="131">
        <f>MIN(INPUT!AQ42/H81,1)</f>
        <v>0.93421052631578949</v>
      </c>
      <c r="J81" s="482">
        <f>IF(INPUT!AQ42&gt;=INPUT!AO42,1,(12+G81*(3*I81-I81^3))/(12+2*G81))</f>
        <v>0.9987065011286681</v>
      </c>
      <c r="K81" s="195">
        <f>0.95*J81*INPUT!AO42</f>
        <v>360.53304690744915</v>
      </c>
      <c r="L81" s="131">
        <f>0.95*J81*INPUT!AP42</f>
        <v>360.53304690744915</v>
      </c>
      <c r="M81" s="201" t="str">
        <f>IF(ABS(B81)&lt;=K81,"OK","NG")</f>
        <v>OK</v>
      </c>
      <c r="N81" s="203" t="str">
        <f>IF(ABS(C81)&lt;=L81,"OK","NG")</f>
        <v>OK</v>
      </c>
    </row>
    <row r="82">
      <c r="A82" s="182">
        <f>INPUT!D43</f>
        <v>101</v>
      </c>
      <c r="B82" s="481">
        <f>INPUT!CN43</f>
        <v>0.73050782555113025</v>
      </c>
      <c r="C82" s="481">
        <f>INPUT!CO43</f>
        <v>-0.691624579055492</v>
      </c>
      <c r="D82" s="184">
        <f>MAX(INPUT!CF43-INPUT!J43,INPUT!CG43-INPUT!L43)</f>
        <v>1485.9916938948841</v>
      </c>
      <c r="E82" s="184">
        <f>IF(INPUT!CF43-INPUT!J43&gt;=INPUT!CG43-INPUT!L43,INPUT!H43*INPUT!I43*INPUT!J43,INPUT!K43*INPUT!L43)</f>
        <v>23235.974822151198</v>
      </c>
      <c r="F82" s="184">
        <f>INPUT!O43</f>
        <v>12</v>
      </c>
      <c r="G82" s="131">
        <f>2*D82*F82/E82</f>
        <v>1.5348527843763364</v>
      </c>
      <c r="H82" s="184">
        <f>MAX(INPUT!AO43,ABS(B82),ABS(C82))</f>
        <v>380</v>
      </c>
      <c r="I82" s="131">
        <f>MIN(INPUT!AQ43/H82,1)</f>
        <v>0.93421052631578949</v>
      </c>
      <c r="J82" s="482">
        <f>IF(INPUT!AQ43&gt;=INPUT!AO43,1,(12+G82*(3*I82-I82^3))/(12+2*G82))</f>
        <v>0.9987065011286681</v>
      </c>
      <c r="K82" s="195">
        <f>0.95*J82*INPUT!AO43</f>
        <v>360.53304690744915</v>
      </c>
      <c r="L82" s="131">
        <f>0.95*J82*INPUT!AP43</f>
        <v>360.53304690744915</v>
      </c>
      <c r="M82" s="201" t="str">
        <f>IF(ABS(B82)&lt;=K82,"OK","NG")</f>
        <v>OK</v>
      </c>
      <c r="N82" s="203" t="str">
        <f>IF(ABS(C82)&lt;=L82,"OK","NG")</f>
        <v>OK</v>
      </c>
    </row>
    <row r="83">
      <c r="A83" s="182">
        <f>INPUT!D44</f>
        <v>101</v>
      </c>
      <c r="B83" s="481">
        <f>INPUT!CN44</f>
        <v>0.73050782555113025</v>
      </c>
      <c r="C83" s="481">
        <f>INPUT!CO44</f>
        <v>-0.691624579055492</v>
      </c>
      <c r="D83" s="184">
        <f>MAX(INPUT!CF44-INPUT!J44,INPUT!CG44-INPUT!L44)</f>
        <v>1485.9916938948841</v>
      </c>
      <c r="E83" s="184">
        <f>IF(INPUT!CF44-INPUT!J44&gt;=INPUT!CG44-INPUT!L44,INPUT!H44*INPUT!I44*INPUT!J44,INPUT!K44*INPUT!L44)</f>
        <v>23235.974822151198</v>
      </c>
      <c r="F83" s="184">
        <f>INPUT!O44</f>
        <v>12</v>
      </c>
      <c r="G83" s="131">
        <f>2*D83*F83/E83</f>
        <v>1.5348527843763364</v>
      </c>
      <c r="H83" s="184">
        <f>MAX(INPUT!AO44,ABS(B83),ABS(C83))</f>
        <v>380</v>
      </c>
      <c r="I83" s="131">
        <f>MIN(INPUT!AQ44/H83,1)</f>
        <v>0.93421052631578949</v>
      </c>
      <c r="J83" s="482">
        <f>IF(INPUT!AQ44&gt;=INPUT!AO44,1,(12+G83*(3*I83-I83^3))/(12+2*G83))</f>
        <v>0.9987065011286681</v>
      </c>
      <c r="K83" s="195">
        <f>0.95*J83*INPUT!AO44</f>
        <v>360.53304690744915</v>
      </c>
      <c r="L83" s="131">
        <f>0.95*J83*INPUT!AP44</f>
        <v>360.53304690744915</v>
      </c>
      <c r="M83" s="201" t="str">
        <f>IF(ABS(B83)&lt;=K83,"OK","NG")</f>
        <v>OK</v>
      </c>
      <c r="N83" s="203" t="str">
        <f>IF(ABS(C83)&lt;=L83,"OK","NG")</f>
        <v>OK</v>
      </c>
    </row>
    <row r="84">
      <c r="A84" s="182">
        <f>INPUT!D45</f>
        <v>101</v>
      </c>
      <c r="B84" s="481">
        <f>INPUT!CN45</f>
        <v>0.73050782555113025</v>
      </c>
      <c r="C84" s="481">
        <f>INPUT!CO45</f>
        <v>-0.691624579055492</v>
      </c>
      <c r="D84" s="184">
        <f>MAX(INPUT!CF45-INPUT!J45,INPUT!CG45-INPUT!L45)</f>
        <v>1485.9916938948841</v>
      </c>
      <c r="E84" s="184">
        <f>IF(INPUT!CF45-INPUT!J45&gt;=INPUT!CG45-INPUT!L45,INPUT!H45*INPUT!I45*INPUT!J45,INPUT!K45*INPUT!L45)</f>
        <v>23235.974822151198</v>
      </c>
      <c r="F84" s="184">
        <f>INPUT!O45</f>
        <v>12</v>
      </c>
      <c r="G84" s="131">
        <f>2*D84*F84/E84</f>
        <v>1.5348527843763364</v>
      </c>
      <c r="H84" s="184">
        <f>MAX(INPUT!AO45,ABS(B84),ABS(C84))</f>
        <v>380</v>
      </c>
      <c r="I84" s="131">
        <f>MIN(INPUT!AQ45/H84,1)</f>
        <v>0.93421052631578949</v>
      </c>
      <c r="J84" s="482">
        <f>IF(INPUT!AQ45&gt;=INPUT!AO45,1,(12+G84*(3*I84-I84^3))/(12+2*G84))</f>
        <v>0.9987065011286681</v>
      </c>
      <c r="K84" s="195">
        <f>0.95*J84*INPUT!AO45</f>
        <v>360.53304690744915</v>
      </c>
      <c r="L84" s="131">
        <f>0.95*J84*INPUT!AP45</f>
        <v>360.53304690744915</v>
      </c>
      <c r="M84" s="201" t="str">
        <f>IF(ABS(B84)&lt;=K84,"OK","NG")</f>
        <v>OK</v>
      </c>
      <c r="N84" s="203" t="str">
        <f>IF(ABS(C84)&lt;=L84,"OK","NG")</f>
        <v>OK</v>
      </c>
    </row>
    <row r="85">
      <c r="A85" s="182">
        <f>INPUT!D46</f>
        <v>101</v>
      </c>
      <c r="B85" s="481">
        <f>INPUT!CN46</f>
        <v>0.73050782555113025</v>
      </c>
      <c r="C85" s="481">
        <f>INPUT!CO46</f>
        <v>-0.691624579055492</v>
      </c>
      <c r="D85" s="184">
        <f>MAX(INPUT!CF46-INPUT!J46,INPUT!CG46-INPUT!L46)</f>
        <v>1485.9916938948841</v>
      </c>
      <c r="E85" s="184">
        <f>IF(INPUT!CF46-INPUT!J46&gt;=INPUT!CG46-INPUT!L46,INPUT!H46*INPUT!I46*INPUT!J46,INPUT!K46*INPUT!L46)</f>
        <v>23235.974822151198</v>
      </c>
      <c r="F85" s="184">
        <f>INPUT!O46</f>
        <v>12</v>
      </c>
      <c r="G85" s="131">
        <f>2*D85*F85/E85</f>
        <v>1.5348527843763364</v>
      </c>
      <c r="H85" s="184">
        <f>MAX(INPUT!AO46,ABS(B85),ABS(C85))</f>
        <v>380</v>
      </c>
      <c r="I85" s="131">
        <f>MIN(INPUT!AQ46/H85,1)</f>
        <v>0.93421052631578949</v>
      </c>
      <c r="J85" s="482">
        <f>IF(INPUT!AQ46&gt;=INPUT!AO46,1,(12+G85*(3*I85-I85^3))/(12+2*G85))</f>
        <v>0.9987065011286681</v>
      </c>
      <c r="K85" s="195">
        <f>0.95*J85*INPUT!AO46</f>
        <v>360.53304690744915</v>
      </c>
      <c r="L85" s="131">
        <f>0.95*J85*INPUT!AP46</f>
        <v>360.53304690744915</v>
      </c>
      <c r="M85" s="201" t="str">
        <f>IF(ABS(B85)&lt;=K85,"OK","NG")</f>
        <v>OK</v>
      </c>
      <c r="N85" s="203" t="str">
        <f>IF(ABS(C85)&lt;=L85,"OK","NG")</f>
        <v>OK</v>
      </c>
    </row>
    <row r="86">
      <c r="A86" s="182">
        <f>INPUT!D47</f>
        <v>101</v>
      </c>
      <c r="B86" s="481">
        <f>INPUT!CN47</f>
        <v>0.73050782555113025</v>
      </c>
      <c r="C86" s="481">
        <f>INPUT!CO47</f>
        <v>-0.691624579055492</v>
      </c>
      <c r="D86" s="184">
        <f>MAX(INPUT!CF47-INPUT!J47,INPUT!CG47-INPUT!L47)</f>
        <v>1485.9916938948841</v>
      </c>
      <c r="E86" s="184">
        <f>IF(INPUT!CF47-INPUT!J47&gt;=INPUT!CG47-INPUT!L47,INPUT!H47*INPUT!I47*INPUT!J47,INPUT!K47*INPUT!L47)</f>
        <v>23235.974822151198</v>
      </c>
      <c r="F86" s="184">
        <f>INPUT!O47</f>
        <v>12</v>
      </c>
      <c r="G86" s="131">
        <f>2*D86*F86/E86</f>
        <v>1.5348527843763364</v>
      </c>
      <c r="H86" s="184">
        <f>MAX(INPUT!AO47,ABS(B86),ABS(C86))</f>
        <v>380</v>
      </c>
      <c r="I86" s="131">
        <f>MIN(INPUT!AQ47/H86,1)</f>
        <v>0.93421052631578949</v>
      </c>
      <c r="J86" s="482">
        <f>IF(INPUT!AQ47&gt;=INPUT!AO47,1,(12+G86*(3*I86-I86^3))/(12+2*G86))</f>
        <v>0.9987065011286681</v>
      </c>
      <c r="K86" s="195">
        <f>0.95*J86*INPUT!AO47</f>
        <v>360.53304690744915</v>
      </c>
      <c r="L86" s="131">
        <f>0.95*J86*INPUT!AP47</f>
        <v>360.53304690744915</v>
      </c>
      <c r="M86" s="201" t="str">
        <f>IF(ABS(B86)&lt;=K86,"OK","NG")</f>
        <v>OK</v>
      </c>
      <c r="N86" s="203" t="str">
        <f>IF(ABS(C86)&lt;=L86,"OK","NG")</f>
        <v>OK</v>
      </c>
    </row>
    <row r="87">
      <c r="A87" s="182">
        <f>INPUT!D48</f>
        <v>101</v>
      </c>
      <c r="B87" s="481">
        <f>INPUT!CN48</f>
        <v>0.73050782555113025</v>
      </c>
      <c r="C87" s="481">
        <f>INPUT!CO48</f>
        <v>-0.691624579055492</v>
      </c>
      <c r="D87" s="184">
        <f>MAX(INPUT!CF48-INPUT!J48,INPUT!CG48-INPUT!L48)</f>
        <v>1485.9916938948841</v>
      </c>
      <c r="E87" s="184">
        <f>IF(INPUT!CF48-INPUT!J48&gt;=INPUT!CG48-INPUT!L48,INPUT!H48*INPUT!I48*INPUT!J48,INPUT!K48*INPUT!L48)</f>
        <v>23235.974822151198</v>
      </c>
      <c r="F87" s="184">
        <f>INPUT!O48</f>
        <v>12</v>
      </c>
      <c r="G87" s="131">
        <f>2*D87*F87/E87</f>
        <v>1.5348527843763364</v>
      </c>
      <c r="H87" s="184">
        <f>MAX(INPUT!AO48,ABS(B87),ABS(C87))</f>
        <v>380</v>
      </c>
      <c r="I87" s="131">
        <f>MIN(INPUT!AQ48/H87,1)</f>
        <v>0.93421052631578949</v>
      </c>
      <c r="J87" s="482">
        <f>IF(INPUT!AQ48&gt;=INPUT!AO48,1,(12+G87*(3*I87-I87^3))/(12+2*G87))</f>
        <v>0.9987065011286681</v>
      </c>
      <c r="K87" s="195">
        <f>0.95*J87*INPUT!AO48</f>
        <v>360.53304690744915</v>
      </c>
      <c r="L87" s="131">
        <f>0.95*J87*INPUT!AP48</f>
        <v>360.53304690744915</v>
      </c>
      <c r="M87" s="201" t="str">
        <f>IF(ABS(B87)&lt;=K87,"OK","NG")</f>
        <v>OK</v>
      </c>
      <c r="N87" s="203" t="str">
        <f>IF(ABS(C87)&lt;=L87,"OK","NG")</f>
        <v>OK</v>
      </c>
    </row>
    <row r="88">
      <c r="A88" s="182">
        <f>INPUT!D49</f>
        <v>101</v>
      </c>
      <c r="B88" s="481">
        <f>INPUT!CN49</f>
        <v>0.73050782555113025</v>
      </c>
      <c r="C88" s="481">
        <f>INPUT!CO49</f>
        <v>-0.691624579055492</v>
      </c>
      <c r="D88" s="184">
        <f>MAX(INPUT!CF49-INPUT!J49,INPUT!CG49-INPUT!L49)</f>
        <v>1485.9916938948841</v>
      </c>
      <c r="E88" s="184">
        <f>IF(INPUT!CF49-INPUT!J49&gt;=INPUT!CG49-INPUT!L49,INPUT!H49*INPUT!I49*INPUT!J49,INPUT!K49*INPUT!L49)</f>
        <v>23235.974822151198</v>
      </c>
      <c r="F88" s="184">
        <f>INPUT!O49</f>
        <v>12</v>
      </c>
      <c r="G88" s="131">
        <f>2*D88*F88/E88</f>
        <v>1.5348527843763364</v>
      </c>
      <c r="H88" s="184">
        <f>MAX(INPUT!AO49,ABS(B88),ABS(C88))</f>
        <v>380</v>
      </c>
      <c r="I88" s="131">
        <f>MIN(INPUT!AQ49/H88,1)</f>
        <v>0.93421052631578949</v>
      </c>
      <c r="J88" s="482">
        <f>IF(INPUT!AQ49&gt;=INPUT!AO49,1,(12+G88*(3*I88-I88^3))/(12+2*G88))</f>
        <v>0.9987065011286681</v>
      </c>
      <c r="K88" s="195">
        <f>0.95*J88*INPUT!AO49</f>
        <v>360.53304690744915</v>
      </c>
      <c r="L88" s="131">
        <f>0.95*J88*INPUT!AP49</f>
        <v>360.53304690744915</v>
      </c>
      <c r="M88" s="201" t="str">
        <f>IF(ABS(B88)&lt;=K88,"OK","NG")</f>
        <v>OK</v>
      </c>
      <c r="N88" s="203" t="str">
        <f>IF(ABS(C88)&lt;=L88,"OK","NG")</f>
        <v>OK</v>
      </c>
    </row>
    <row r="89">
      <c r="A89" s="182">
        <f>INPUT!D50</f>
        <v>101</v>
      </c>
      <c r="B89" s="481">
        <f>INPUT!CN50</f>
        <v>0.73050782555113025</v>
      </c>
      <c r="C89" s="481">
        <f>INPUT!CO50</f>
        <v>-0.691624579055492</v>
      </c>
      <c r="D89" s="184">
        <f>MAX(INPUT!CF50-INPUT!J50,INPUT!CG50-INPUT!L50)</f>
        <v>1485.9916938948841</v>
      </c>
      <c r="E89" s="184">
        <f>IF(INPUT!CF50-INPUT!J50&gt;=INPUT!CG50-INPUT!L50,INPUT!H50*INPUT!I50*INPUT!J50,INPUT!K50*INPUT!L50)</f>
        <v>23235.974822151198</v>
      </c>
      <c r="F89" s="184">
        <f>INPUT!O50</f>
        <v>12</v>
      </c>
      <c r="G89" s="131">
        <f>2*D89*F89/E89</f>
        <v>1.5348527843763364</v>
      </c>
      <c r="H89" s="184">
        <f>MAX(INPUT!AO50,ABS(B89),ABS(C89))</f>
        <v>380</v>
      </c>
      <c r="I89" s="131">
        <f>MIN(INPUT!AQ50/H89,1)</f>
        <v>0.93421052631578949</v>
      </c>
      <c r="J89" s="482">
        <f>IF(INPUT!AQ50&gt;=INPUT!AO50,1,(12+G89*(3*I89-I89^3))/(12+2*G89))</f>
        <v>0.9987065011286681</v>
      </c>
      <c r="K89" s="195">
        <f>0.95*J89*INPUT!AO50</f>
        <v>360.53304690744915</v>
      </c>
      <c r="L89" s="131">
        <f>0.95*J89*INPUT!AP50</f>
        <v>360.53304690744915</v>
      </c>
      <c r="M89" s="201" t="str">
        <f>IF(ABS(B89)&lt;=K89,"OK","NG")</f>
        <v>OK</v>
      </c>
      <c r="N89" s="203" t="str">
        <f>IF(ABS(C89)&lt;=L89,"OK","NG")</f>
        <v>OK</v>
      </c>
    </row>
    <row r="90">
      <c r="A90" s="182">
        <f>INPUT!D51</f>
        <v>101</v>
      </c>
      <c r="B90" s="481">
        <f>INPUT!CN51</f>
        <v>0.73050782555113025</v>
      </c>
      <c r="C90" s="481">
        <f>INPUT!CO51</f>
        <v>-0.691624579055492</v>
      </c>
      <c r="D90" s="184">
        <f>MAX(INPUT!CF51-INPUT!J51,INPUT!CG51-INPUT!L51)</f>
        <v>1485.9916938948841</v>
      </c>
      <c r="E90" s="184">
        <f>IF(INPUT!CF51-INPUT!J51&gt;=INPUT!CG51-INPUT!L51,INPUT!H51*INPUT!I51*INPUT!J51,INPUT!K51*INPUT!L51)</f>
        <v>23235.974822151198</v>
      </c>
      <c r="F90" s="184">
        <f>INPUT!O51</f>
        <v>12</v>
      </c>
      <c r="G90" s="131">
        <f>2*D90*F90/E90</f>
        <v>1.5348527843763364</v>
      </c>
      <c r="H90" s="184">
        <f>MAX(INPUT!AO51,ABS(B90),ABS(C90))</f>
        <v>380</v>
      </c>
      <c r="I90" s="131">
        <f>MIN(INPUT!AQ51/H90,1)</f>
        <v>0.93421052631578949</v>
      </c>
      <c r="J90" s="482">
        <f>IF(INPUT!AQ51&gt;=INPUT!AO51,1,(12+G90*(3*I90-I90^3))/(12+2*G90))</f>
        <v>0.9987065011286681</v>
      </c>
      <c r="K90" s="195">
        <f>0.95*J90*INPUT!AO51</f>
        <v>360.53304690744915</v>
      </c>
      <c r="L90" s="131">
        <f>0.95*J90*INPUT!AP51</f>
        <v>360.53304690744915</v>
      </c>
      <c r="M90" s="201" t="str">
        <f>IF(ABS(B90)&lt;=K90,"OK","NG")</f>
        <v>OK</v>
      </c>
      <c r="N90" s="203" t="str">
        <f>IF(ABS(C90)&lt;=L90,"OK","NG")</f>
        <v>OK</v>
      </c>
    </row>
    <row r="91">
      <c r="A91" s="182">
        <f>INPUT!D52</f>
        <v>101</v>
      </c>
      <c r="B91" s="481">
        <f>INPUT!CN52</f>
        <v>0.73050782555113025</v>
      </c>
      <c r="C91" s="481">
        <f>INPUT!CO52</f>
        <v>-0.691624579055492</v>
      </c>
      <c r="D91" s="184">
        <f>MAX(INPUT!CF52-INPUT!J52,INPUT!CG52-INPUT!L52)</f>
        <v>1485.9916938948841</v>
      </c>
      <c r="E91" s="184">
        <f>IF(INPUT!CF52-INPUT!J52&gt;=INPUT!CG52-INPUT!L52,INPUT!H52*INPUT!I52*INPUT!J52,INPUT!K52*INPUT!L52)</f>
        <v>23235.974822151198</v>
      </c>
      <c r="F91" s="184">
        <f>INPUT!O52</f>
        <v>12</v>
      </c>
      <c r="G91" s="131">
        <f>2*D91*F91/E91</f>
        <v>1.5348527843763364</v>
      </c>
      <c r="H91" s="184">
        <f>MAX(INPUT!AO52,ABS(B91),ABS(C91))</f>
        <v>380</v>
      </c>
      <c r="I91" s="131">
        <f>MIN(INPUT!AQ52/H91,1)</f>
        <v>0.93421052631578949</v>
      </c>
      <c r="J91" s="482">
        <f>IF(INPUT!AQ52&gt;=INPUT!AO52,1,(12+G91*(3*I91-I91^3))/(12+2*G91))</f>
        <v>0.9987065011286681</v>
      </c>
      <c r="K91" s="195">
        <f>0.95*J91*INPUT!AO52</f>
        <v>360.53304690744915</v>
      </c>
      <c r="L91" s="131">
        <f>0.95*J91*INPUT!AP52</f>
        <v>360.53304690744915</v>
      </c>
      <c r="M91" s="201" t="str">
        <f>IF(ABS(B91)&lt;=K91,"OK","NG")</f>
        <v>OK</v>
      </c>
      <c r="N91" s="203" t="str">
        <f>IF(ABS(C91)&lt;=L91,"OK","NG")</f>
        <v>OK</v>
      </c>
    </row>
    <row r="92">
      <c r="A92" s="182">
        <f>INPUT!D53</f>
        <v>101</v>
      </c>
      <c r="B92" s="481">
        <f>INPUT!CN53</f>
        <v>0.73050782555113025</v>
      </c>
      <c r="C92" s="481">
        <f>INPUT!CO53</f>
        <v>-0.691624579055492</v>
      </c>
      <c r="D92" s="184">
        <f>MAX(INPUT!CF53-INPUT!J53,INPUT!CG53-INPUT!L53)</f>
        <v>1485.9916938948841</v>
      </c>
      <c r="E92" s="184">
        <f>IF(INPUT!CF53-INPUT!J53&gt;=INPUT!CG53-INPUT!L53,INPUT!H53*INPUT!I53*INPUT!J53,INPUT!K53*INPUT!L53)</f>
        <v>23235.974822151198</v>
      </c>
      <c r="F92" s="184">
        <f>INPUT!O53</f>
        <v>12</v>
      </c>
      <c r="G92" s="131">
        <f>2*D92*F92/E92</f>
        <v>1.5348527843763364</v>
      </c>
      <c r="H92" s="184">
        <f>MAX(INPUT!AO53,ABS(B92),ABS(C92))</f>
        <v>380</v>
      </c>
      <c r="I92" s="131">
        <f>MIN(INPUT!AQ53/H92,1)</f>
        <v>0.93421052631578949</v>
      </c>
      <c r="J92" s="482">
        <f>IF(INPUT!AQ53&gt;=INPUT!AO53,1,(12+G92*(3*I92-I92^3))/(12+2*G92))</f>
        <v>0.9987065011286681</v>
      </c>
      <c r="K92" s="195">
        <f>0.95*J92*INPUT!AO53</f>
        <v>360.53304690744915</v>
      </c>
      <c r="L92" s="131">
        <f>0.95*J92*INPUT!AP53</f>
        <v>360.53304690744915</v>
      </c>
      <c r="M92" s="201" t="str">
        <f>IF(ABS(B92)&lt;=K92,"OK","NG")</f>
        <v>OK</v>
      </c>
      <c r="N92" s="203" t="str">
        <f>IF(ABS(C92)&lt;=L92,"OK","NG")</f>
        <v>OK</v>
      </c>
    </row>
    <row r="93">
      <c r="A93" s="182">
        <f>INPUT!D54</f>
        <v>101</v>
      </c>
      <c r="B93" s="481">
        <f>INPUT!CN54</f>
        <v>0.73050782555113025</v>
      </c>
      <c r="C93" s="481">
        <f>INPUT!CO54</f>
        <v>-0.691624579055492</v>
      </c>
      <c r="D93" s="184">
        <f>MAX(INPUT!CF54-INPUT!J54,INPUT!CG54-INPUT!L54)</f>
        <v>1485.9916938948841</v>
      </c>
      <c r="E93" s="184">
        <f>IF(INPUT!CF54-INPUT!J54&gt;=INPUT!CG54-INPUT!L54,INPUT!H54*INPUT!I54*INPUT!J54,INPUT!K54*INPUT!L54)</f>
        <v>23235.974822151198</v>
      </c>
      <c r="F93" s="184">
        <f>INPUT!O54</f>
        <v>12</v>
      </c>
      <c r="G93" s="131">
        <f>2*D93*F93/E93</f>
        <v>1.5348527843763364</v>
      </c>
      <c r="H93" s="184">
        <f>MAX(INPUT!AO54,ABS(B93),ABS(C93))</f>
        <v>380</v>
      </c>
      <c r="I93" s="131">
        <f>MIN(INPUT!AQ54/H93,1)</f>
        <v>0.93421052631578949</v>
      </c>
      <c r="J93" s="482">
        <f>IF(INPUT!AQ54&gt;=INPUT!AO54,1,(12+G93*(3*I93-I93^3))/(12+2*G93))</f>
        <v>0.9987065011286681</v>
      </c>
      <c r="K93" s="195">
        <f>0.95*J93*INPUT!AO54</f>
        <v>360.53304690744915</v>
      </c>
      <c r="L93" s="131">
        <f>0.95*J93*INPUT!AP54</f>
        <v>360.53304690744915</v>
      </c>
      <c r="M93" s="201" t="str">
        <f>IF(ABS(B93)&lt;=K93,"OK","NG")</f>
        <v>OK</v>
      </c>
      <c r="N93" s="203" t="str">
        <f>IF(ABS(C93)&lt;=L93,"OK","NG")</f>
        <v>OK</v>
      </c>
    </row>
    <row r="94">
      <c r="A94" s="182">
        <f>INPUT!D55</f>
        <v>101</v>
      </c>
      <c r="B94" s="481">
        <f>INPUT!CN55</f>
        <v>0.73050782555113025</v>
      </c>
      <c r="C94" s="481">
        <f>INPUT!CO55</f>
        <v>-0.691624579055492</v>
      </c>
      <c r="D94" s="184">
        <f>MAX(INPUT!CF55-INPUT!J55,INPUT!CG55-INPUT!L55)</f>
        <v>1485.9916938948841</v>
      </c>
      <c r="E94" s="184">
        <f>IF(INPUT!CF55-INPUT!J55&gt;=INPUT!CG55-INPUT!L55,INPUT!H55*INPUT!I55*INPUT!J55,INPUT!K55*INPUT!L55)</f>
        <v>23235.974822151198</v>
      </c>
      <c r="F94" s="184">
        <f>INPUT!O55</f>
        <v>12</v>
      </c>
      <c r="G94" s="131">
        <f>2*D94*F94/E94</f>
        <v>1.5348527843763364</v>
      </c>
      <c r="H94" s="184">
        <f>MAX(INPUT!AO55,ABS(B94),ABS(C94))</f>
        <v>380</v>
      </c>
      <c r="I94" s="131">
        <f>MIN(INPUT!AQ55/H94,1)</f>
        <v>0.93421052631578949</v>
      </c>
      <c r="J94" s="482">
        <f>IF(INPUT!AQ55&gt;=INPUT!AO55,1,(12+G94*(3*I94-I94^3))/(12+2*G94))</f>
        <v>0.9987065011286681</v>
      </c>
      <c r="K94" s="195">
        <f>0.95*J94*INPUT!AO55</f>
        <v>360.53304690744915</v>
      </c>
      <c r="L94" s="131">
        <f>0.95*J94*INPUT!AP55</f>
        <v>360.53304690744915</v>
      </c>
      <c r="M94" s="201" t="str">
        <f>IF(ABS(B94)&lt;=K94,"OK","NG")</f>
        <v>OK</v>
      </c>
      <c r="N94" s="203" t="str">
        <f>IF(ABS(C94)&lt;=L94,"OK","NG")</f>
        <v>OK</v>
      </c>
    </row>
    <row r="95">
      <c r="A95" s="182">
        <f>INPUT!D56</f>
        <v>101</v>
      </c>
      <c r="B95" s="481">
        <f>INPUT!CN56</f>
        <v>0.73050782555113025</v>
      </c>
      <c r="C95" s="481">
        <f>INPUT!CO56</f>
        <v>-0.691624579055492</v>
      </c>
      <c r="D95" s="184">
        <f>MAX(INPUT!CF56-INPUT!J56,INPUT!CG56-INPUT!L56)</f>
        <v>1485.9916938948841</v>
      </c>
      <c r="E95" s="184">
        <f>IF(INPUT!CF56-INPUT!J56&gt;=INPUT!CG56-INPUT!L56,INPUT!H56*INPUT!I56*INPUT!J56,INPUT!K56*INPUT!L56)</f>
        <v>23235.974822151198</v>
      </c>
      <c r="F95" s="184">
        <f>INPUT!O56</f>
        <v>12</v>
      </c>
      <c r="G95" s="131">
        <f>2*D95*F95/E95</f>
        <v>1.5348527843763364</v>
      </c>
      <c r="H95" s="184">
        <f>MAX(INPUT!AO56,ABS(B95),ABS(C95))</f>
        <v>380</v>
      </c>
      <c r="I95" s="131">
        <f>MIN(INPUT!AQ56/H95,1)</f>
        <v>0.93421052631578949</v>
      </c>
      <c r="J95" s="482">
        <f>IF(INPUT!AQ56&gt;=INPUT!AO56,1,(12+G95*(3*I95-I95^3))/(12+2*G95))</f>
        <v>0.9987065011286681</v>
      </c>
      <c r="K95" s="195">
        <f>0.95*J95*INPUT!AO56</f>
        <v>360.53304690744915</v>
      </c>
      <c r="L95" s="131">
        <f>0.95*J95*INPUT!AP56</f>
        <v>360.53304690744915</v>
      </c>
      <c r="M95" s="201" t="str">
        <f>IF(ABS(B95)&lt;=K95,"OK","NG")</f>
        <v>OK</v>
      </c>
      <c r="N95" s="203" t="str">
        <f>IF(ABS(C95)&lt;=L95,"OK","NG")</f>
        <v>OK</v>
      </c>
    </row>
    <row r="96">
      <c r="A96" s="182">
        <f>INPUT!D57</f>
        <v>101</v>
      </c>
      <c r="B96" s="481">
        <f>INPUT!CN57</f>
        <v>0.73050782555113025</v>
      </c>
      <c r="C96" s="481">
        <f>INPUT!CO57</f>
        <v>-0.691624579055492</v>
      </c>
      <c r="D96" s="184">
        <f>MAX(INPUT!CF57-INPUT!J57,INPUT!CG57-INPUT!L57)</f>
        <v>1485.9916938948841</v>
      </c>
      <c r="E96" s="184">
        <f>IF(INPUT!CF57-INPUT!J57&gt;=INPUT!CG57-INPUT!L57,INPUT!H57*INPUT!I57*INPUT!J57,INPUT!K57*INPUT!L57)</f>
        <v>23235.974822151198</v>
      </c>
      <c r="F96" s="184">
        <f>INPUT!O57</f>
        <v>12</v>
      </c>
      <c r="G96" s="131">
        <f>2*D96*F96/E96</f>
        <v>1.5348527843763364</v>
      </c>
      <c r="H96" s="184">
        <f>MAX(INPUT!AO57,ABS(B96),ABS(C96))</f>
        <v>380</v>
      </c>
      <c r="I96" s="131">
        <f>MIN(INPUT!AQ57/H96,1)</f>
        <v>0.93421052631578949</v>
      </c>
      <c r="J96" s="482">
        <f>IF(INPUT!AQ57&gt;=INPUT!AO57,1,(12+G96*(3*I96-I96^3))/(12+2*G96))</f>
        <v>0.9987065011286681</v>
      </c>
      <c r="K96" s="195">
        <f>0.95*J96*INPUT!AO57</f>
        <v>360.53304690744915</v>
      </c>
      <c r="L96" s="131">
        <f>0.95*J96*INPUT!AP57</f>
        <v>360.53304690744915</v>
      </c>
      <c r="M96" s="201" t="str">
        <f>IF(ABS(B96)&lt;=K96,"OK","NG")</f>
        <v>OK</v>
      </c>
      <c r="N96" s="203" t="str">
        <f>IF(ABS(C96)&lt;=L96,"OK","NG")</f>
        <v>OK</v>
      </c>
    </row>
    <row r="97">
      <c r="A97" s="182">
        <f>INPUT!D58</f>
        <v>101</v>
      </c>
      <c r="B97" s="481">
        <f>INPUT!CN58</f>
        <v>0.73050782555113025</v>
      </c>
      <c r="C97" s="481">
        <f>INPUT!CO58</f>
        <v>-0.691624579055492</v>
      </c>
      <c r="D97" s="184">
        <f>MAX(INPUT!CF58-INPUT!J58,INPUT!CG58-INPUT!L58)</f>
        <v>1485.9916938948841</v>
      </c>
      <c r="E97" s="184">
        <f>IF(INPUT!CF58-INPUT!J58&gt;=INPUT!CG58-INPUT!L58,INPUT!H58*INPUT!I58*INPUT!J58,INPUT!K58*INPUT!L58)</f>
        <v>23235.974822151198</v>
      </c>
      <c r="F97" s="184">
        <f>INPUT!O58</f>
        <v>12</v>
      </c>
      <c r="G97" s="131">
        <f>2*D97*F97/E97</f>
        <v>1.5348527843763364</v>
      </c>
      <c r="H97" s="184">
        <f>MAX(INPUT!AO58,ABS(B97),ABS(C97))</f>
        <v>380</v>
      </c>
      <c r="I97" s="131">
        <f>MIN(INPUT!AQ58/H97,1)</f>
        <v>0.93421052631578949</v>
      </c>
      <c r="J97" s="482">
        <f>IF(INPUT!AQ58&gt;=INPUT!AO58,1,(12+G97*(3*I97-I97^3))/(12+2*G97))</f>
        <v>0.9987065011286681</v>
      </c>
      <c r="K97" s="195">
        <f>0.95*J97*INPUT!AO58</f>
        <v>360.53304690744915</v>
      </c>
      <c r="L97" s="131">
        <f>0.95*J97*INPUT!AP58</f>
        <v>360.53304690744915</v>
      </c>
      <c r="M97" s="201" t="str">
        <f>IF(ABS(B97)&lt;=K97,"OK","NG")</f>
        <v>OK</v>
      </c>
      <c r="N97" s="203" t="str">
        <f>IF(ABS(C97)&lt;=L97,"OK","NG")</f>
        <v>OK</v>
      </c>
    </row>
    <row r="98">
      <c r="A98" s="182">
        <f>INPUT!D59</f>
        <v>101</v>
      </c>
      <c r="B98" s="481">
        <f>INPUT!CN59</f>
        <v>0.73050782555113025</v>
      </c>
      <c r="C98" s="481">
        <f>INPUT!CO59</f>
        <v>-0.691624579055492</v>
      </c>
      <c r="D98" s="184">
        <f>MAX(INPUT!CF59-INPUT!J59,INPUT!CG59-INPUT!L59)</f>
        <v>1485.9916938948841</v>
      </c>
      <c r="E98" s="184">
        <f>IF(INPUT!CF59-INPUT!J59&gt;=INPUT!CG59-INPUT!L59,INPUT!H59*INPUT!I59*INPUT!J59,INPUT!K59*INPUT!L59)</f>
        <v>23235.974822151198</v>
      </c>
      <c r="F98" s="184">
        <f>INPUT!O59</f>
        <v>12</v>
      </c>
      <c r="G98" s="131">
        <f>2*D98*F98/E98</f>
        <v>1.5348527843763364</v>
      </c>
      <c r="H98" s="184">
        <f>MAX(INPUT!AO59,ABS(B98),ABS(C98))</f>
        <v>380</v>
      </c>
      <c r="I98" s="131">
        <f>MIN(INPUT!AQ59/H98,1)</f>
        <v>0.93421052631578949</v>
      </c>
      <c r="J98" s="482">
        <f>IF(INPUT!AQ59&gt;=INPUT!AO59,1,(12+G98*(3*I98-I98^3))/(12+2*G98))</f>
        <v>0.9987065011286681</v>
      </c>
      <c r="K98" s="195">
        <f>0.95*J98*INPUT!AO59</f>
        <v>360.53304690744915</v>
      </c>
      <c r="L98" s="131">
        <f>0.95*J98*INPUT!AP59</f>
        <v>360.53304690744915</v>
      </c>
      <c r="M98" s="201" t="str">
        <f>IF(ABS(B98)&lt;=K98,"OK","NG")</f>
        <v>OK</v>
      </c>
      <c r="N98" s="203" t="str">
        <f>IF(ABS(C98)&lt;=L98,"OK","NG")</f>
        <v>OK</v>
      </c>
    </row>
    <row r="99">
      <c r="A99" s="182">
        <f>INPUT!D60</f>
        <v>101</v>
      </c>
      <c r="B99" s="481">
        <f>INPUT!CN60</f>
        <v>0.73050782555113025</v>
      </c>
      <c r="C99" s="481">
        <f>INPUT!CO60</f>
        <v>-0.691624579055492</v>
      </c>
      <c r="D99" s="184">
        <f>MAX(INPUT!CF60-INPUT!J60,INPUT!CG60-INPUT!L60)</f>
        <v>1485.9916938948841</v>
      </c>
      <c r="E99" s="184">
        <f>IF(INPUT!CF60-INPUT!J60&gt;=INPUT!CG60-INPUT!L60,INPUT!H60*INPUT!I60*INPUT!J60,INPUT!K60*INPUT!L60)</f>
        <v>23235.974822151198</v>
      </c>
      <c r="F99" s="184">
        <f>INPUT!O60</f>
        <v>12</v>
      </c>
      <c r="G99" s="131">
        <f>2*D99*F99/E99</f>
        <v>1.5348527843763364</v>
      </c>
      <c r="H99" s="184">
        <f>MAX(INPUT!AO60,ABS(B99),ABS(C99))</f>
        <v>380</v>
      </c>
      <c r="I99" s="131">
        <f>MIN(INPUT!AQ60/H99,1)</f>
        <v>0.93421052631578949</v>
      </c>
      <c r="J99" s="482">
        <f>IF(INPUT!AQ60&gt;=INPUT!AO60,1,(12+G99*(3*I99-I99^3))/(12+2*G99))</f>
        <v>0.9987065011286681</v>
      </c>
      <c r="K99" s="195">
        <f>0.95*J99*INPUT!AO60</f>
        <v>360.53304690744915</v>
      </c>
      <c r="L99" s="131">
        <f>0.95*J99*INPUT!AP60</f>
        <v>360.53304690744915</v>
      </c>
      <c r="M99" s="201" t="str">
        <f>IF(ABS(B99)&lt;=K99,"OK","NG")</f>
        <v>OK</v>
      </c>
      <c r="N99" s="203" t="str">
        <f>IF(ABS(C99)&lt;=L99,"OK","NG")</f>
        <v>OK</v>
      </c>
    </row>
    <row r="100">
      <c r="A100" s="182">
        <f>INPUT!D61</f>
        <v>101</v>
      </c>
      <c r="B100" s="481">
        <f>INPUT!CN61</f>
        <v>0.73050782555113025</v>
      </c>
      <c r="C100" s="481">
        <f>INPUT!CO61</f>
        <v>-0.691624579055492</v>
      </c>
      <c r="D100" s="184">
        <f>MAX(INPUT!CF61-INPUT!J61,INPUT!CG61-INPUT!L61)</f>
        <v>1485.9916938948841</v>
      </c>
      <c r="E100" s="184">
        <f>IF(INPUT!CF61-INPUT!J61&gt;=INPUT!CG61-INPUT!L61,INPUT!H61*INPUT!I61*INPUT!J61,INPUT!K61*INPUT!L61)</f>
        <v>23235.974822151198</v>
      </c>
      <c r="F100" s="184">
        <f>INPUT!O61</f>
        <v>12</v>
      </c>
      <c r="G100" s="131">
        <f>2*D100*F100/E100</f>
        <v>1.5348527843763364</v>
      </c>
      <c r="H100" s="184">
        <f>MAX(INPUT!AO61,ABS(B100),ABS(C100))</f>
        <v>380</v>
      </c>
      <c r="I100" s="131">
        <f>MIN(INPUT!AQ61/H100,1)</f>
        <v>0.93421052631578949</v>
      </c>
      <c r="J100" s="482">
        <f>IF(INPUT!AQ61&gt;=INPUT!AO61,1,(12+G100*(3*I100-I100^3))/(12+2*G100))</f>
        <v>0.9987065011286681</v>
      </c>
      <c r="K100" s="195">
        <f>0.95*J100*INPUT!AO61</f>
        <v>360.53304690744915</v>
      </c>
      <c r="L100" s="131">
        <f>0.95*J100*INPUT!AP61</f>
        <v>360.53304690744915</v>
      </c>
      <c r="M100" s="201" t="str">
        <f>IF(ABS(B100)&lt;=K100,"OK","NG")</f>
        <v>OK</v>
      </c>
      <c r="N100" s="203" t="str">
        <f>IF(ABS(C100)&lt;=L100,"OK","NG")</f>
        <v>OK</v>
      </c>
    </row>
    <row r="101">
      <c r="A101" s="182">
        <f>INPUT!D62</f>
        <v>101</v>
      </c>
      <c r="B101" s="481">
        <f>INPUT!CN62</f>
        <v>0.73050782555113025</v>
      </c>
      <c r="C101" s="481">
        <f>INPUT!CO62</f>
        <v>-0.691624579055492</v>
      </c>
      <c r="D101" s="184">
        <f>MAX(INPUT!CF62-INPUT!J62,INPUT!CG62-INPUT!L62)</f>
        <v>1485.9916938948841</v>
      </c>
      <c r="E101" s="184">
        <f>IF(INPUT!CF62-INPUT!J62&gt;=INPUT!CG62-INPUT!L62,INPUT!H62*INPUT!I62*INPUT!J62,INPUT!K62*INPUT!L62)</f>
        <v>23235.974822151198</v>
      </c>
      <c r="F101" s="184">
        <f>INPUT!O62</f>
        <v>12</v>
      </c>
      <c r="G101" s="131">
        <f>2*D101*F101/E101</f>
        <v>1.5348527843763364</v>
      </c>
      <c r="H101" s="184">
        <f>MAX(INPUT!AO62,ABS(B101),ABS(C101))</f>
        <v>380</v>
      </c>
      <c r="I101" s="131">
        <f>MIN(INPUT!AQ62/H101,1)</f>
        <v>0.93421052631578949</v>
      </c>
      <c r="J101" s="482">
        <f>IF(INPUT!AQ62&gt;=INPUT!AO62,1,(12+G101*(3*I101-I101^3))/(12+2*G101))</f>
        <v>0.9987065011286681</v>
      </c>
      <c r="K101" s="195">
        <f>0.95*J101*INPUT!AO62</f>
        <v>360.53304690744915</v>
      </c>
      <c r="L101" s="131">
        <f>0.95*J101*INPUT!AP62</f>
        <v>360.53304690744915</v>
      </c>
      <c r="M101" s="201" t="str">
        <f>IF(ABS(B101)&lt;=K101,"OK","NG")</f>
        <v>OK</v>
      </c>
      <c r="N101" s="203" t="str">
        <f>IF(ABS(C101)&lt;=L101,"OK","NG")</f>
        <v>OK</v>
      </c>
    </row>
    <row r="102">
      <c r="A102" s="182">
        <f>INPUT!D63</f>
        <v>101</v>
      </c>
      <c r="B102" s="481">
        <f>INPUT!CN63</f>
        <v>0.73050782555113025</v>
      </c>
      <c r="C102" s="481">
        <f>INPUT!CO63</f>
        <v>-0.691624579055492</v>
      </c>
      <c r="D102" s="184">
        <f>MAX(INPUT!CF63-INPUT!J63,INPUT!CG63-INPUT!L63)</f>
        <v>1485.9916938948841</v>
      </c>
      <c r="E102" s="184">
        <f>IF(INPUT!CF63-INPUT!J63&gt;=INPUT!CG63-INPUT!L63,INPUT!H63*INPUT!I63*INPUT!J63,INPUT!K63*INPUT!L63)</f>
        <v>23235.974822151198</v>
      </c>
      <c r="F102" s="184">
        <f>INPUT!O63</f>
        <v>12</v>
      </c>
      <c r="G102" s="131">
        <f>2*D102*F102/E102</f>
        <v>1.5348527843763364</v>
      </c>
      <c r="H102" s="184">
        <f>MAX(INPUT!AO63,ABS(B102),ABS(C102))</f>
        <v>380</v>
      </c>
      <c r="I102" s="131">
        <f>MIN(INPUT!AQ63/H102,1)</f>
        <v>0.93421052631578949</v>
      </c>
      <c r="J102" s="482">
        <f>IF(INPUT!AQ63&gt;=INPUT!AO63,1,(12+G102*(3*I102-I102^3))/(12+2*G102))</f>
        <v>0.9987065011286681</v>
      </c>
      <c r="K102" s="195">
        <f>0.95*J102*INPUT!AO63</f>
        <v>360.53304690744915</v>
      </c>
      <c r="L102" s="131">
        <f>0.95*J102*INPUT!AP63</f>
        <v>360.53304690744915</v>
      </c>
      <c r="M102" s="201" t="str">
        <f>IF(ABS(B102)&lt;=K102,"OK","NG")</f>
        <v>OK</v>
      </c>
      <c r="N102" s="203" t="str">
        <f>IF(ABS(C102)&lt;=L102,"OK","NG")</f>
        <v>OK</v>
      </c>
    </row>
    <row r="103">
      <c r="A103" s="182">
        <f>INPUT!D64</f>
        <v>101</v>
      </c>
      <c r="B103" s="481">
        <f>INPUT!CN64</f>
        <v>0.73050782555113025</v>
      </c>
      <c r="C103" s="481">
        <f>INPUT!CO64</f>
        <v>-0.691624579055492</v>
      </c>
      <c r="D103" s="184">
        <f>MAX(INPUT!CF64-INPUT!J64,INPUT!CG64-INPUT!L64)</f>
        <v>1485.9916938948841</v>
      </c>
      <c r="E103" s="184">
        <f>IF(INPUT!CF64-INPUT!J64&gt;=INPUT!CG64-INPUT!L64,INPUT!H64*INPUT!I64*INPUT!J64,INPUT!K64*INPUT!L64)</f>
        <v>23235.974822151198</v>
      </c>
      <c r="F103" s="184">
        <f>INPUT!O64</f>
        <v>12</v>
      </c>
      <c r="G103" s="131">
        <f>2*D103*F103/E103</f>
        <v>1.5348527843763364</v>
      </c>
      <c r="H103" s="184">
        <f>MAX(INPUT!AO64,ABS(B103),ABS(C103))</f>
        <v>380</v>
      </c>
      <c r="I103" s="131">
        <f>MIN(INPUT!AQ64/H103,1)</f>
        <v>0.93421052631578949</v>
      </c>
      <c r="J103" s="482">
        <f>IF(INPUT!AQ64&gt;=INPUT!AO64,1,(12+G103*(3*I103-I103^3))/(12+2*G103))</f>
        <v>0.9987065011286681</v>
      </c>
      <c r="K103" s="195">
        <f>0.95*J103*INPUT!AO64</f>
        <v>360.53304690744915</v>
      </c>
      <c r="L103" s="131">
        <f>0.95*J103*INPUT!AP64</f>
        <v>360.53304690744915</v>
      </c>
      <c r="M103" s="201" t="str">
        <f>IF(ABS(B103)&lt;=K103,"OK","NG")</f>
        <v>OK</v>
      </c>
      <c r="N103" s="203" t="str">
        <f>IF(ABS(C103)&lt;=L103,"OK","NG")</f>
        <v>OK</v>
      </c>
    </row>
    <row r="104">
      <c r="A104" s="182">
        <f>INPUT!D65</f>
        <v>101</v>
      </c>
      <c r="B104" s="481">
        <f>INPUT!CN65</f>
        <v>0.73050782555113025</v>
      </c>
      <c r="C104" s="481">
        <f>INPUT!CO65</f>
        <v>-0.691624579055492</v>
      </c>
      <c r="D104" s="184">
        <f>MAX(INPUT!CF65-INPUT!J65,INPUT!CG65-INPUT!L65)</f>
        <v>1485.9916938948841</v>
      </c>
      <c r="E104" s="184">
        <f>IF(INPUT!CF65-INPUT!J65&gt;=INPUT!CG65-INPUT!L65,INPUT!H65*INPUT!I65*INPUT!J65,INPUT!K65*INPUT!L65)</f>
        <v>23235.974822151198</v>
      </c>
      <c r="F104" s="184">
        <f>INPUT!O65</f>
        <v>12</v>
      </c>
      <c r="G104" s="131">
        <f>2*D104*F104/E104</f>
        <v>1.5348527843763364</v>
      </c>
      <c r="H104" s="184">
        <f>MAX(INPUT!AO65,ABS(B104),ABS(C104))</f>
        <v>380</v>
      </c>
      <c r="I104" s="131">
        <f>MIN(INPUT!AQ65/H104,1)</f>
        <v>0.93421052631578949</v>
      </c>
      <c r="J104" s="482">
        <f>IF(INPUT!AQ65&gt;=INPUT!AO65,1,(12+G104*(3*I104-I104^3))/(12+2*G104))</f>
        <v>0.9987065011286681</v>
      </c>
      <c r="K104" s="195">
        <f>0.95*J104*INPUT!AO65</f>
        <v>360.53304690744915</v>
      </c>
      <c r="L104" s="131">
        <f>0.95*J104*INPUT!AP65</f>
        <v>360.53304690744915</v>
      </c>
      <c r="M104" s="201" t="str">
        <f>IF(ABS(B104)&lt;=K104,"OK","NG")</f>
        <v>OK</v>
      </c>
      <c r="N104" s="203" t="str">
        <f>IF(ABS(C104)&lt;=L104,"OK","NG")</f>
        <v>OK</v>
      </c>
    </row>
    <row r="105">
      <c r="A105" s="182">
        <f>INPUT!D66</f>
        <v>101</v>
      </c>
      <c r="B105" s="481">
        <f>INPUT!CN66</f>
        <v>0.73050782555113025</v>
      </c>
      <c r="C105" s="481">
        <f>INPUT!CO66</f>
        <v>-0.691624579055492</v>
      </c>
      <c r="D105" s="184">
        <f>MAX(INPUT!CF66-INPUT!J66,INPUT!CG66-INPUT!L66)</f>
        <v>1485.9916938948841</v>
      </c>
      <c r="E105" s="184">
        <f>IF(INPUT!CF66-INPUT!J66&gt;=INPUT!CG66-INPUT!L66,INPUT!H66*INPUT!I66*INPUT!J66,INPUT!K66*INPUT!L66)</f>
        <v>23235.974822151198</v>
      </c>
      <c r="F105" s="184">
        <f>INPUT!O66</f>
        <v>12</v>
      </c>
      <c r="G105" s="131">
        <f>2*D105*F105/E105</f>
        <v>1.5348527843763364</v>
      </c>
      <c r="H105" s="184">
        <f>MAX(INPUT!AO66,ABS(B105),ABS(C105))</f>
        <v>380</v>
      </c>
      <c r="I105" s="131">
        <f>MIN(INPUT!AQ66/H105,1)</f>
        <v>0.93421052631578949</v>
      </c>
      <c r="J105" s="482">
        <f>IF(INPUT!AQ66&gt;=INPUT!AO66,1,(12+G105*(3*I105-I105^3))/(12+2*G105))</f>
        <v>0.9987065011286681</v>
      </c>
      <c r="K105" s="195">
        <f>0.95*J105*INPUT!AO66</f>
        <v>360.53304690744915</v>
      </c>
      <c r="L105" s="131">
        <f>0.95*J105*INPUT!AP66</f>
        <v>360.53304690744915</v>
      </c>
      <c r="M105" s="201" t="str">
        <f>IF(ABS(B105)&lt;=K105,"OK","NG")</f>
        <v>OK</v>
      </c>
      <c r="N105" s="203" t="str">
        <f>IF(ABS(C105)&lt;=L105,"OK","NG")</f>
        <v>OK</v>
      </c>
    </row>
    <row r="106">
      <c r="A106" s="182">
        <f>INPUT!D67</f>
        <v>101</v>
      </c>
      <c r="B106" s="481">
        <f>INPUT!CN67</f>
        <v>0.73050782555113025</v>
      </c>
      <c r="C106" s="481">
        <f>INPUT!CO67</f>
        <v>-0.691624579055492</v>
      </c>
      <c r="D106" s="184">
        <f>MAX(INPUT!CF67-INPUT!J67,INPUT!CG67-INPUT!L67)</f>
        <v>1485.9916938948841</v>
      </c>
      <c r="E106" s="184">
        <f>IF(INPUT!CF67-INPUT!J67&gt;=INPUT!CG67-INPUT!L67,INPUT!H67*INPUT!I67*INPUT!J67,INPUT!K67*INPUT!L67)</f>
        <v>23235.974822151198</v>
      </c>
      <c r="F106" s="184">
        <f>INPUT!O67</f>
        <v>12</v>
      </c>
      <c r="G106" s="131">
        <f>2*D106*F106/E106</f>
        <v>1.5348527843763364</v>
      </c>
      <c r="H106" s="184">
        <f>MAX(INPUT!AO67,ABS(B106),ABS(C106))</f>
        <v>380</v>
      </c>
      <c r="I106" s="131">
        <f>MIN(INPUT!AQ67/H106,1)</f>
        <v>0.93421052631578949</v>
      </c>
      <c r="J106" s="482">
        <f>IF(INPUT!AQ67&gt;=INPUT!AO67,1,(12+G106*(3*I106-I106^3))/(12+2*G106))</f>
        <v>0.9987065011286681</v>
      </c>
      <c r="K106" s="195">
        <f>0.95*J106*INPUT!AO67</f>
        <v>360.53304690744915</v>
      </c>
      <c r="L106" s="131">
        <f>0.95*J106*INPUT!AP67</f>
        <v>360.53304690744915</v>
      </c>
      <c r="M106" s="201" t="str">
        <f>IF(ABS(B106)&lt;=K106,"OK","NG")</f>
        <v>OK</v>
      </c>
      <c r="N106" s="203" t="str">
        <f>IF(ABS(C106)&lt;=L106,"OK","NG")</f>
        <v>OK</v>
      </c>
    </row>
    <row r="107">
      <c r="A107" s="182">
        <f>INPUT!D68</f>
        <v>101</v>
      </c>
      <c r="B107" s="481">
        <f>INPUT!CN68</f>
        <v>0.73050782555113025</v>
      </c>
      <c r="C107" s="481">
        <f>INPUT!CO68</f>
        <v>-0.691624579055492</v>
      </c>
      <c r="D107" s="184">
        <f>MAX(INPUT!CF68-INPUT!J68,INPUT!CG68-INPUT!L68)</f>
        <v>1485.9916938948841</v>
      </c>
      <c r="E107" s="184">
        <f>IF(INPUT!CF68-INPUT!J68&gt;=INPUT!CG68-INPUT!L68,INPUT!H68*INPUT!I68*INPUT!J68,INPUT!K68*INPUT!L68)</f>
        <v>23235.974822151198</v>
      </c>
      <c r="F107" s="184">
        <f>INPUT!O68</f>
        <v>12</v>
      </c>
      <c r="G107" s="131">
        <f>2*D107*F107/E107</f>
        <v>1.5348527843763364</v>
      </c>
      <c r="H107" s="184">
        <f>MAX(INPUT!AO68,ABS(B107),ABS(C107))</f>
        <v>380</v>
      </c>
      <c r="I107" s="131">
        <f>MIN(INPUT!AQ68/H107,1)</f>
        <v>0.93421052631578949</v>
      </c>
      <c r="J107" s="482">
        <f>IF(INPUT!AQ68&gt;=INPUT!AO68,1,(12+G107*(3*I107-I107^3))/(12+2*G107))</f>
        <v>0.9987065011286681</v>
      </c>
      <c r="K107" s="195">
        <f>0.95*J107*INPUT!AO68</f>
        <v>360.53304690744915</v>
      </c>
      <c r="L107" s="131">
        <f>0.95*J107*INPUT!AP68</f>
        <v>360.53304690744915</v>
      </c>
      <c r="M107" s="201" t="str">
        <f>IF(ABS(B107)&lt;=K107,"OK","NG")</f>
        <v>OK</v>
      </c>
      <c r="N107" s="203" t="str">
        <f>IF(ABS(C107)&lt;=L107,"OK","NG")</f>
        <v>OK</v>
      </c>
    </row>
    <row r="108">
      <c r="A108" s="182">
        <f>INPUT!D69</f>
        <v>101</v>
      </c>
      <c r="B108" s="481">
        <f>INPUT!CN69</f>
        <v>0.73050782555113025</v>
      </c>
      <c r="C108" s="481">
        <f>INPUT!CO69</f>
        <v>-0.691624579055492</v>
      </c>
      <c r="D108" s="184">
        <f>MAX(INPUT!CF69-INPUT!J69,INPUT!CG69-INPUT!L69)</f>
        <v>1485.9916938948841</v>
      </c>
      <c r="E108" s="184">
        <f>IF(INPUT!CF69-INPUT!J69&gt;=INPUT!CG69-INPUT!L69,INPUT!H69*INPUT!I69*INPUT!J69,INPUT!K69*INPUT!L69)</f>
        <v>23235.974822151198</v>
      </c>
      <c r="F108" s="184">
        <f>INPUT!O69</f>
        <v>12</v>
      </c>
      <c r="G108" s="131">
        <f>2*D108*F108/E108</f>
        <v>1.5348527843763364</v>
      </c>
      <c r="H108" s="184">
        <f>MAX(INPUT!AO69,ABS(B108),ABS(C108))</f>
        <v>380</v>
      </c>
      <c r="I108" s="131">
        <f>MIN(INPUT!AQ69/H108,1)</f>
        <v>0.93421052631578949</v>
      </c>
      <c r="J108" s="482">
        <f>IF(INPUT!AQ69&gt;=INPUT!AO69,1,(12+G108*(3*I108-I108^3))/(12+2*G108))</f>
        <v>0.9987065011286681</v>
      </c>
      <c r="K108" s="195">
        <f>0.95*J108*INPUT!AO69</f>
        <v>360.53304690744915</v>
      </c>
      <c r="L108" s="131">
        <f>0.95*J108*INPUT!AP69</f>
        <v>360.53304690744915</v>
      </c>
      <c r="M108" s="201" t="str">
        <f>IF(ABS(B108)&lt;=K108,"OK","NG")</f>
        <v>OK</v>
      </c>
      <c r="N108" s="203" t="str">
        <f>IF(ABS(C108)&lt;=L108,"OK","NG")</f>
        <v>OK</v>
      </c>
    </row>
    <row r="109">
      <c r="A109" s="182">
        <f>INPUT!D70</f>
        <v>101</v>
      </c>
      <c r="B109" s="481">
        <f>INPUT!CN70</f>
        <v>0.73050782555113025</v>
      </c>
      <c r="C109" s="481">
        <f>INPUT!CO70</f>
        <v>-0.691624579055492</v>
      </c>
      <c r="D109" s="184">
        <f>MAX(INPUT!CF70-INPUT!J70,INPUT!CG70-INPUT!L70)</f>
        <v>1485.9916938948841</v>
      </c>
      <c r="E109" s="184">
        <f>IF(INPUT!CF70-INPUT!J70&gt;=INPUT!CG70-INPUT!L70,INPUT!H70*INPUT!I70*INPUT!J70,INPUT!K70*INPUT!L70)</f>
        <v>23235.974822151198</v>
      </c>
      <c r="F109" s="184">
        <f>INPUT!O70</f>
        <v>12</v>
      </c>
      <c r="G109" s="131">
        <f>2*D109*F109/E109</f>
        <v>1.5348527843763364</v>
      </c>
      <c r="H109" s="184">
        <f>MAX(INPUT!AO70,ABS(B109),ABS(C109))</f>
        <v>380</v>
      </c>
      <c r="I109" s="131">
        <f>MIN(INPUT!AQ70/H109,1)</f>
        <v>0.93421052631578949</v>
      </c>
      <c r="J109" s="482">
        <f>IF(INPUT!AQ70&gt;=INPUT!AO70,1,(12+G109*(3*I109-I109^3))/(12+2*G109))</f>
        <v>0.9987065011286681</v>
      </c>
      <c r="K109" s="195">
        <f>0.95*J109*INPUT!AO70</f>
        <v>360.53304690744915</v>
      </c>
      <c r="L109" s="131">
        <f>0.95*J109*INPUT!AP70</f>
        <v>360.53304690744915</v>
      </c>
      <c r="M109" s="201" t="str">
        <f>IF(ABS(B109)&lt;=K109,"OK","NG")</f>
        <v>OK</v>
      </c>
      <c r="N109" s="203" t="str">
        <f>IF(ABS(C109)&lt;=L109,"OK","NG")</f>
        <v>OK</v>
      </c>
    </row>
    <row r="110">
      <c r="A110" s="182">
        <f>INPUT!D71</f>
        <v>101</v>
      </c>
      <c r="B110" s="481">
        <f>INPUT!CN71</f>
        <v>0.73050782555113025</v>
      </c>
      <c r="C110" s="481">
        <f>INPUT!CO71</f>
        <v>-0.691624579055492</v>
      </c>
      <c r="D110" s="184">
        <f>MAX(INPUT!CF71-INPUT!J71,INPUT!CG71-INPUT!L71)</f>
        <v>1485.9916938948841</v>
      </c>
      <c r="E110" s="184">
        <f>IF(INPUT!CF71-INPUT!J71&gt;=INPUT!CG71-INPUT!L71,INPUT!H71*INPUT!I71*INPUT!J71,INPUT!K71*INPUT!L71)</f>
        <v>23235.974822151198</v>
      </c>
      <c r="F110" s="184">
        <f>INPUT!O71</f>
        <v>12</v>
      </c>
      <c r="G110" s="131">
        <f>2*D110*F110/E110</f>
        <v>1.5348527843763364</v>
      </c>
      <c r="H110" s="184">
        <f>MAX(INPUT!AO71,ABS(B110),ABS(C110))</f>
        <v>380</v>
      </c>
      <c r="I110" s="131">
        <f>MIN(INPUT!AQ71/H110,1)</f>
        <v>0.93421052631578949</v>
      </c>
      <c r="J110" s="482">
        <f>IF(INPUT!AQ71&gt;=INPUT!AO71,1,(12+G110*(3*I110-I110^3))/(12+2*G110))</f>
        <v>0.9987065011286681</v>
      </c>
      <c r="K110" s="195">
        <f>0.95*J110*INPUT!AO71</f>
        <v>360.53304690744915</v>
      </c>
      <c r="L110" s="131">
        <f>0.95*J110*INPUT!AP71</f>
        <v>360.53304690744915</v>
      </c>
      <c r="M110" s="201" t="str">
        <f>IF(ABS(B110)&lt;=K110,"OK","NG")</f>
        <v>OK</v>
      </c>
      <c r="N110" s="203" t="str">
        <f>IF(ABS(C110)&lt;=L110,"OK","NG")</f>
        <v>OK</v>
      </c>
    </row>
    <row r="111">
      <c r="A111" s="182">
        <f>INPUT!D72</f>
        <v>101</v>
      </c>
      <c r="B111" s="481">
        <f>INPUT!CN72</f>
        <v>0.73050782555113025</v>
      </c>
      <c r="C111" s="481">
        <f>INPUT!CO72</f>
        <v>-0.691624579055492</v>
      </c>
      <c r="D111" s="184">
        <f>MAX(INPUT!CF72-INPUT!J72,INPUT!CG72-INPUT!L72)</f>
        <v>1485.9916938948841</v>
      </c>
      <c r="E111" s="184">
        <f>IF(INPUT!CF72-INPUT!J72&gt;=INPUT!CG72-INPUT!L72,INPUT!H72*INPUT!I72*INPUT!J72,INPUT!K72*INPUT!L72)</f>
        <v>23235.974822151198</v>
      </c>
      <c r="F111" s="184">
        <f>INPUT!O72</f>
        <v>12</v>
      </c>
      <c r="G111" s="131">
        <f>2*D111*F111/E111</f>
        <v>1.5348527843763364</v>
      </c>
      <c r="H111" s="184">
        <f>MAX(INPUT!AO72,ABS(B111),ABS(C111))</f>
        <v>380</v>
      </c>
      <c r="I111" s="131">
        <f>MIN(INPUT!AQ72/H111,1)</f>
        <v>0.93421052631578949</v>
      </c>
      <c r="J111" s="482">
        <f>IF(INPUT!AQ72&gt;=INPUT!AO72,1,(12+G111*(3*I111-I111^3))/(12+2*G111))</f>
        <v>0.9987065011286681</v>
      </c>
      <c r="K111" s="195">
        <f>0.95*J111*INPUT!AO72</f>
        <v>360.53304690744915</v>
      </c>
      <c r="L111" s="131">
        <f>0.95*J111*INPUT!AP72</f>
        <v>360.53304690744915</v>
      </c>
      <c r="M111" s="201" t="str">
        <f>IF(ABS(B111)&lt;=K111,"OK","NG")</f>
        <v>OK</v>
      </c>
      <c r="N111" s="203" t="str">
        <f>IF(ABS(C111)&lt;=L111,"OK","NG")</f>
        <v>OK</v>
      </c>
    </row>
    <row r="112">
      <c r="A112" s="182">
        <f>INPUT!D73</f>
        <v>101</v>
      </c>
      <c r="B112" s="481">
        <f>INPUT!CN73</f>
        <v>0.73050782555113025</v>
      </c>
      <c r="C112" s="481">
        <f>INPUT!CO73</f>
        <v>-0.691624579055492</v>
      </c>
      <c r="D112" s="184">
        <f>MAX(INPUT!CF73-INPUT!J73,INPUT!CG73-INPUT!L73)</f>
        <v>1485.9916938948841</v>
      </c>
      <c r="E112" s="184">
        <f>IF(INPUT!CF73-INPUT!J73&gt;=INPUT!CG73-INPUT!L73,INPUT!H73*INPUT!I73*INPUT!J73,INPUT!K73*INPUT!L73)</f>
        <v>23235.974822151198</v>
      </c>
      <c r="F112" s="184">
        <f>INPUT!O73</f>
        <v>12</v>
      </c>
      <c r="G112" s="131">
        <f>2*D112*F112/E112</f>
        <v>1.5348527843763364</v>
      </c>
      <c r="H112" s="184">
        <f>MAX(INPUT!AO73,ABS(B112),ABS(C112))</f>
        <v>380</v>
      </c>
      <c r="I112" s="131">
        <f>MIN(INPUT!AQ73/H112,1)</f>
        <v>0.93421052631578949</v>
      </c>
      <c r="J112" s="482">
        <f>IF(INPUT!AQ73&gt;=INPUT!AO73,1,(12+G112*(3*I112-I112^3))/(12+2*G112))</f>
        <v>0.9987065011286681</v>
      </c>
      <c r="K112" s="195">
        <f>0.95*J112*INPUT!AO73</f>
        <v>360.53304690744915</v>
      </c>
      <c r="L112" s="131">
        <f>0.95*J112*INPUT!AP73</f>
        <v>360.53304690744915</v>
      </c>
      <c r="M112" s="201" t="str">
        <f>IF(ABS(B112)&lt;=K112,"OK","NG")</f>
        <v>OK</v>
      </c>
      <c r="N112" s="203" t="str">
        <f>IF(ABS(C112)&lt;=L112,"OK","NG")</f>
        <v>OK</v>
      </c>
    </row>
    <row r="113">
      <c r="A113" s="182">
        <f>INPUT!D74</f>
        <v>101</v>
      </c>
      <c r="B113" s="481">
        <f>INPUT!CN74</f>
        <v>0.73050782555113025</v>
      </c>
      <c r="C113" s="481">
        <f>INPUT!CO74</f>
        <v>-0.691624579055492</v>
      </c>
      <c r="D113" s="184">
        <f>MAX(INPUT!CF74-INPUT!J74,INPUT!CG74-INPUT!L74)</f>
        <v>1485.9916938948841</v>
      </c>
      <c r="E113" s="184">
        <f>IF(INPUT!CF74-INPUT!J74&gt;=INPUT!CG74-INPUT!L74,INPUT!H74*INPUT!I74*INPUT!J74,INPUT!K74*INPUT!L74)</f>
        <v>23235.974822151198</v>
      </c>
      <c r="F113" s="184">
        <f>INPUT!O74</f>
        <v>12</v>
      </c>
      <c r="G113" s="131">
        <f>2*D113*F113/E113</f>
        <v>1.5348527843763364</v>
      </c>
      <c r="H113" s="184">
        <f>MAX(INPUT!AO74,ABS(B113),ABS(C113))</f>
        <v>380</v>
      </c>
      <c r="I113" s="131">
        <f>MIN(INPUT!AQ74/H113,1)</f>
        <v>0.93421052631578949</v>
      </c>
      <c r="J113" s="482">
        <f>IF(INPUT!AQ74&gt;=INPUT!AO74,1,(12+G113*(3*I113-I113^3))/(12+2*G113))</f>
        <v>0.9987065011286681</v>
      </c>
      <c r="K113" s="195">
        <f>0.95*J113*INPUT!AO74</f>
        <v>360.53304690744915</v>
      </c>
      <c r="L113" s="131">
        <f>0.95*J113*INPUT!AP74</f>
        <v>360.53304690744915</v>
      </c>
      <c r="M113" s="201" t="str">
        <f>IF(ABS(B113)&lt;=K113,"OK","NG")</f>
        <v>OK</v>
      </c>
      <c r="N113" s="203" t="str">
        <f>IF(ABS(C113)&lt;=L113,"OK","NG")</f>
        <v>OK</v>
      </c>
    </row>
    <row r="114">
      <c r="A114" s="182">
        <f>INPUT!D75</f>
        <v>101</v>
      </c>
      <c r="B114" s="481">
        <f>INPUT!CN75</f>
        <v>0.73050782555113025</v>
      </c>
      <c r="C114" s="481">
        <f>INPUT!CO75</f>
        <v>-0.691624579055492</v>
      </c>
      <c r="D114" s="184">
        <f>MAX(INPUT!CF75-INPUT!J75,INPUT!CG75-INPUT!L75)</f>
        <v>1485.9916938948841</v>
      </c>
      <c r="E114" s="184">
        <f>IF(INPUT!CF75-INPUT!J75&gt;=INPUT!CG75-INPUT!L75,INPUT!H75*INPUT!I75*INPUT!J75,INPUT!K75*INPUT!L75)</f>
        <v>23235.974822151198</v>
      </c>
      <c r="F114" s="184">
        <f>INPUT!O75</f>
        <v>12</v>
      </c>
      <c r="G114" s="131">
        <f>2*D114*F114/E114</f>
        <v>1.5348527843763364</v>
      </c>
      <c r="H114" s="184">
        <f>MAX(INPUT!AO75,ABS(B114),ABS(C114))</f>
        <v>380</v>
      </c>
      <c r="I114" s="131">
        <f>MIN(INPUT!AQ75/H114,1)</f>
        <v>0.93421052631578949</v>
      </c>
      <c r="J114" s="482">
        <f>IF(INPUT!AQ75&gt;=INPUT!AO75,1,(12+G114*(3*I114-I114^3))/(12+2*G114))</f>
        <v>0.9987065011286681</v>
      </c>
      <c r="K114" s="195">
        <f>0.95*J114*INPUT!AO75</f>
        <v>360.53304690744915</v>
      </c>
      <c r="L114" s="131">
        <f>0.95*J114*INPUT!AP75</f>
        <v>360.53304690744915</v>
      </c>
      <c r="M114" s="201" t="str">
        <f>IF(ABS(B114)&lt;=K114,"OK","NG")</f>
        <v>OK</v>
      </c>
      <c r="N114" s="203" t="str">
        <f>IF(ABS(C114)&lt;=L114,"OK","NG")</f>
        <v>OK</v>
      </c>
    </row>
    <row r="115">
      <c r="A115" s="182">
        <f>INPUT!D76</f>
        <v>101</v>
      </c>
      <c r="B115" s="481">
        <f>INPUT!CN76</f>
        <v>0.73050782555113025</v>
      </c>
      <c r="C115" s="481">
        <f>INPUT!CO76</f>
        <v>-0.691624579055492</v>
      </c>
      <c r="D115" s="184">
        <f>MAX(INPUT!CF76-INPUT!J76,INPUT!CG76-INPUT!L76)</f>
        <v>1485.9916938948841</v>
      </c>
      <c r="E115" s="184">
        <f>IF(INPUT!CF76-INPUT!J76&gt;=INPUT!CG76-INPUT!L76,INPUT!H76*INPUT!I76*INPUT!J76,INPUT!K76*INPUT!L76)</f>
        <v>23235.974822151198</v>
      </c>
      <c r="F115" s="184">
        <f>INPUT!O76</f>
        <v>12</v>
      </c>
      <c r="G115" s="131">
        <f>2*D115*F115/E115</f>
        <v>1.5348527843763364</v>
      </c>
      <c r="H115" s="184">
        <f>MAX(INPUT!AO76,ABS(B115),ABS(C115))</f>
        <v>380</v>
      </c>
      <c r="I115" s="131">
        <f>MIN(INPUT!AQ76/H115,1)</f>
        <v>0.93421052631578949</v>
      </c>
      <c r="J115" s="482">
        <f>IF(INPUT!AQ76&gt;=INPUT!AO76,1,(12+G115*(3*I115-I115^3))/(12+2*G115))</f>
        <v>0.9987065011286681</v>
      </c>
      <c r="K115" s="195">
        <f>0.95*J115*INPUT!AO76</f>
        <v>360.53304690744915</v>
      </c>
      <c r="L115" s="131">
        <f>0.95*J115*INPUT!AP76</f>
        <v>360.53304690744915</v>
      </c>
      <c r="M115" s="201" t="str">
        <f>IF(ABS(B115)&lt;=K115,"OK","NG")</f>
        <v>OK</v>
      </c>
      <c r="N115" s="203" t="str">
        <f>IF(ABS(C115)&lt;=L115,"OK","NG")</f>
        <v>OK</v>
      </c>
    </row>
    <row r="116">
      <c r="A116" s="182">
        <f>INPUT!D77</f>
        <v>101</v>
      </c>
      <c r="B116" s="481">
        <f>INPUT!CN77</f>
        <v>0.73050782555113025</v>
      </c>
      <c r="C116" s="481">
        <f>INPUT!CO77</f>
        <v>-0.691624579055492</v>
      </c>
      <c r="D116" s="184">
        <f>MAX(INPUT!CF77-INPUT!J77,INPUT!CG77-INPUT!L77)</f>
        <v>1485.9916938948841</v>
      </c>
      <c r="E116" s="184">
        <f>IF(INPUT!CF77-INPUT!J77&gt;=INPUT!CG77-INPUT!L77,INPUT!H77*INPUT!I77*INPUT!J77,INPUT!K77*INPUT!L77)</f>
        <v>23235.974822151198</v>
      </c>
      <c r="F116" s="184">
        <f>INPUT!O77</f>
        <v>12</v>
      </c>
      <c r="G116" s="131">
        <f>2*D116*F116/E116</f>
        <v>1.5348527843763364</v>
      </c>
      <c r="H116" s="184">
        <f>MAX(INPUT!AO77,ABS(B116),ABS(C116))</f>
        <v>380</v>
      </c>
      <c r="I116" s="131">
        <f>MIN(INPUT!AQ77/H116,1)</f>
        <v>0.93421052631578949</v>
      </c>
      <c r="J116" s="482">
        <f>IF(INPUT!AQ77&gt;=INPUT!AO77,1,(12+G116*(3*I116-I116^3))/(12+2*G116))</f>
        <v>0.9987065011286681</v>
      </c>
      <c r="K116" s="195">
        <f>0.95*J116*INPUT!AO77</f>
        <v>360.53304690744915</v>
      </c>
      <c r="L116" s="131">
        <f>0.95*J116*INPUT!AP77</f>
        <v>360.53304690744915</v>
      </c>
      <c r="M116" s="201" t="str">
        <f>IF(ABS(B116)&lt;=K116,"OK","NG")</f>
        <v>OK</v>
      </c>
      <c r="N116" s="203" t="str">
        <f>IF(ABS(C116)&lt;=L116,"OK","NG")</f>
        <v>OK</v>
      </c>
    </row>
    <row r="117">
      <c r="A117" s="182">
        <f>INPUT!D78</f>
        <v>101</v>
      </c>
      <c r="B117" s="481">
        <f>INPUT!CN78</f>
        <v>0.73050782555113025</v>
      </c>
      <c r="C117" s="481">
        <f>INPUT!CO78</f>
        <v>-0.691624579055492</v>
      </c>
      <c r="D117" s="184">
        <f>MAX(INPUT!CF78-INPUT!J78,INPUT!CG78-INPUT!L78)</f>
        <v>1485.9916938948841</v>
      </c>
      <c r="E117" s="184">
        <f>IF(INPUT!CF78-INPUT!J78&gt;=INPUT!CG78-INPUT!L78,INPUT!H78*INPUT!I78*INPUT!J78,INPUT!K78*INPUT!L78)</f>
        <v>23235.974822151198</v>
      </c>
      <c r="F117" s="184">
        <f>INPUT!O78</f>
        <v>12</v>
      </c>
      <c r="G117" s="131">
        <f>2*D117*F117/E117</f>
        <v>1.5348527843763364</v>
      </c>
      <c r="H117" s="184">
        <f>MAX(INPUT!AO78,ABS(B117),ABS(C117))</f>
        <v>380</v>
      </c>
      <c r="I117" s="131">
        <f>MIN(INPUT!AQ78/H117,1)</f>
        <v>0.93421052631578949</v>
      </c>
      <c r="J117" s="482">
        <f>IF(INPUT!AQ78&gt;=INPUT!AO78,1,(12+G117*(3*I117-I117^3))/(12+2*G117))</f>
        <v>0.9987065011286681</v>
      </c>
      <c r="K117" s="195">
        <f>0.95*J117*INPUT!AO78</f>
        <v>360.53304690744915</v>
      </c>
      <c r="L117" s="131">
        <f>0.95*J117*INPUT!AP78</f>
        <v>360.53304690744915</v>
      </c>
      <c r="M117" s="201" t="str">
        <f>IF(ABS(B117)&lt;=K117,"OK","NG")</f>
        <v>OK</v>
      </c>
      <c r="N117" s="203" t="str">
        <f>IF(ABS(C117)&lt;=L117,"OK","NG")</f>
        <v>OK</v>
      </c>
    </row>
    <row r="118" ht="15" customHeight="1" s="4" customFormat="1">
      <c r="A118" s="400"/>
      <c r="B118" s="292"/>
      <c r="C118" s="292"/>
      <c r="D118" s="399"/>
      <c r="E118" s="399"/>
      <c r="F118" s="292"/>
      <c r="G118" s="292"/>
      <c r="H118" s="292"/>
      <c r="I118" s="292"/>
      <c r="J118" s="401"/>
      <c r="K118" s="401"/>
      <c r="O118" s="383"/>
    </row>
    <row r="119" ht="15" customHeight="1" s="4" customFormat="1">
      <c r="A119" s="400"/>
      <c r="B119" s="292"/>
      <c r="C119" s="292"/>
      <c r="D119" s="399"/>
      <c r="E119" s="399"/>
      <c r="F119" s="292"/>
      <c r="G119" s="292"/>
      <c r="H119" s="292"/>
      <c r="I119" s="292"/>
      <c r="J119" s="401"/>
      <c r="K119" s="401"/>
      <c r="O119" s="383"/>
    </row>
    <row r="120" ht="15" customHeight="1" s="4" customFormat="1">
      <c r="A120" s="39" t="s">
        <v>1023</v>
      </c>
      <c r="L120" s="372"/>
      <c r="N120" s="68" t="s">
        <v>1012</v>
      </c>
      <c r="O120" s="296"/>
      <c r="X120" s="372"/>
      <c r="Z120" s="372"/>
      <c r="AC120" s="372"/>
      <c r="AN120" s="171"/>
      <c r="AQ120" s="30"/>
    </row>
    <row r="121" ht="15" customHeight="1" s="4" customFormat="1">
      <c r="A121" s="156"/>
      <c r="D121" s="19"/>
      <c r="L121" s="372"/>
      <c r="O121" s="296"/>
      <c r="X121" s="372"/>
      <c r="Z121" s="372"/>
      <c r="AC121" s="372"/>
      <c r="AN121" s="171"/>
      <c r="AQ121" s="30"/>
    </row>
    <row r="122" ht="20.1" customHeight="1" s="366" customFormat="1">
      <c r="A122" s="40"/>
      <c r="B122" s="19"/>
      <c r="C122" s="41"/>
      <c r="D122" s="42"/>
      <c r="E122" s="43" t="s">
        <v>1024</v>
      </c>
      <c r="F122" s="42"/>
      <c r="G122" s="44"/>
      <c r="H122" s="45"/>
      <c r="I122" s="4"/>
      <c r="J122" s="4"/>
      <c r="K122" s="4"/>
      <c r="L122" s="372"/>
      <c r="M122" s="4"/>
      <c r="N122" s="65"/>
      <c r="O122" s="383"/>
    </row>
    <row r="123" ht="20.1" customHeight="1" s="366" customFormat="1">
      <c r="A123" s="40"/>
      <c r="B123" s="19"/>
      <c r="C123" s="81"/>
      <c r="D123" s="80"/>
      <c r="E123" s="81"/>
      <c r="F123" s="80"/>
      <c r="G123" s="402"/>
      <c r="H123" s="80"/>
      <c r="I123" s="4"/>
      <c r="J123" s="4"/>
      <c r="K123" s="4"/>
      <c r="L123" s="372"/>
      <c r="M123" s="4"/>
      <c r="N123" s="65"/>
      <c r="O123" s="383"/>
    </row>
    <row r="124" ht="15" customHeight="1" s="4" customFormat="1">
      <c r="B124" s="4" t="s">
        <v>171</v>
      </c>
      <c r="L124" s="372"/>
      <c r="O124" s="296"/>
      <c r="X124" s="372"/>
      <c r="Z124" s="372"/>
      <c r="AC124" s="372"/>
      <c r="AN124" s="171"/>
      <c r="AQ124" s="30"/>
    </row>
    <row r="125" ht="15" customHeight="1" s="4" customFormat="1">
      <c r="B125" s="11"/>
      <c r="C125" s="4" t="s">
        <v>1025</v>
      </c>
      <c r="D125" s="30" t="s">
        <v>173</v>
      </c>
      <c r="E125" s="4" t="s">
        <v>1026</v>
      </c>
      <c r="L125" s="372"/>
      <c r="O125" s="296"/>
      <c r="X125" s="372"/>
      <c r="Z125" s="372"/>
      <c r="AC125" s="372"/>
      <c r="AN125" s="171"/>
      <c r="AQ125" s="30"/>
    </row>
    <row r="126" ht="15" customHeight="1" s="4" customFormat="1">
      <c r="B126" s="11"/>
      <c r="C126" s="4" t="s">
        <v>498</v>
      </c>
      <c r="D126" s="30" t="s">
        <v>173</v>
      </c>
      <c r="E126" s="4" t="s">
        <v>1027</v>
      </c>
      <c r="L126" s="372" t="s">
        <v>1028</v>
      </c>
      <c r="O126" s="296"/>
      <c r="X126" s="372"/>
      <c r="AN126" s="171"/>
      <c r="AQ126" s="30"/>
    </row>
    <row r="127" ht="15" customHeight="1" s="4" customFormat="1">
      <c r="B127" s="11"/>
      <c r="C127" s="505" t="s">
        <v>498</v>
      </c>
      <c r="D127" s="522" t="s">
        <v>173</v>
      </c>
      <c r="E127" s="22" t="s">
        <v>457</v>
      </c>
      <c r="F127" s="492" t="s">
        <v>1029</v>
      </c>
      <c r="G127" s="492"/>
      <c r="H127" s="492"/>
      <c r="I127" s="492"/>
      <c r="N127" s="68" t="s">
        <v>446</v>
      </c>
      <c r="O127" s="296"/>
      <c r="X127" s="372"/>
      <c r="AN127" s="171"/>
      <c r="AQ127" s="30"/>
    </row>
    <row r="128" ht="15" customHeight="1" s="4" customFormat="1">
      <c r="A128" s="11"/>
      <c r="B128" s="40"/>
      <c r="C128" s="505"/>
      <c r="D128" s="522"/>
      <c r="E128" s="48" t="s">
        <v>459</v>
      </c>
      <c r="F128" s="492"/>
      <c r="G128" s="492"/>
      <c r="H128" s="492"/>
      <c r="I128" s="492"/>
      <c r="O128" s="296"/>
      <c r="Y128" s="372"/>
      <c r="AA128" s="152"/>
      <c r="AD128" s="372"/>
      <c r="AF128" s="372"/>
    </row>
    <row r="129" ht="15" customHeight="1" s="4" customFormat="1">
      <c r="A129" s="113"/>
      <c r="B129" s="19"/>
      <c r="O129" s="296"/>
      <c r="AF129" s="372"/>
    </row>
    <row r="130" ht="15" customHeight="1" s="4" customFormat="1">
      <c r="B130" s="375" t="s">
        <v>197</v>
      </c>
      <c r="C130" s="4" t="s">
        <v>460</v>
      </c>
      <c r="D130" s="156"/>
      <c r="E130" s="156"/>
      <c r="F130" s="156"/>
      <c r="G130" s="156"/>
      <c r="H130" s="156"/>
      <c r="I130" s="156"/>
      <c r="M130" s="372"/>
      <c r="O130" s="296"/>
      <c r="Y130" s="372"/>
      <c r="AD130" s="372"/>
      <c r="AF130" s="372"/>
    </row>
    <row r="131" ht="15" customHeight="1" s="4" customFormat="1">
      <c r="B131" s="11"/>
      <c r="C131" s="4" t="s">
        <v>461</v>
      </c>
      <c r="D131" s="156"/>
      <c r="E131" s="156"/>
      <c r="F131" s="156"/>
      <c r="G131" s="4" t="s">
        <v>462</v>
      </c>
      <c r="H131" s="156"/>
      <c r="I131" s="156"/>
      <c r="M131" s="372"/>
      <c r="O131" s="296"/>
      <c r="Y131" s="372"/>
      <c r="AD131" s="372"/>
      <c r="AF131" s="372"/>
    </row>
    <row r="132" ht="15" customHeight="1" s="4" customFormat="1">
      <c r="B132" s="11"/>
      <c r="C132" s="22" t="s">
        <v>463</v>
      </c>
      <c r="D132" s="157"/>
      <c r="E132" s="157"/>
      <c r="F132" s="157"/>
      <c r="G132" s="157"/>
      <c r="H132" s="157"/>
      <c r="I132" s="157"/>
      <c r="N132" s="68" t="s">
        <v>464</v>
      </c>
      <c r="O132" s="296"/>
      <c r="Y132" s="372"/>
      <c r="AD132" s="372"/>
      <c r="AF132" s="372"/>
    </row>
    <row r="133" ht="20.1" customHeight="1" s="4" customFormat="1">
      <c r="C133" s="46" t="s">
        <v>163</v>
      </c>
      <c r="D133" s="46"/>
      <c r="E133" s="46"/>
      <c r="F133" s="46"/>
      <c r="G133" s="46"/>
      <c r="H133" s="46" t="s">
        <v>334</v>
      </c>
      <c r="I133" s="46"/>
      <c r="J133" s="46"/>
      <c r="K133" s="46"/>
      <c r="L133" s="46"/>
      <c r="O133" s="296"/>
      <c r="Y133" s="372"/>
    </row>
    <row r="134" ht="20.1" customHeight="1" s="4" customFormat="1">
      <c r="C134" s="4" t="s">
        <v>465</v>
      </c>
      <c r="H134" s="493">
        <v>7.2</v>
      </c>
      <c r="I134" s="493"/>
      <c r="O134" s="296"/>
      <c r="Y134" s="372"/>
    </row>
    <row r="135" ht="20.1" customHeight="1" s="4" customFormat="1">
      <c r="C135" s="4" t="s">
        <v>466</v>
      </c>
      <c r="O135" s="296"/>
      <c r="Y135" s="372"/>
    </row>
    <row r="136" ht="20.1" customHeight="1" s="4" customFormat="1">
      <c r="D136" s="4" t="s">
        <v>467</v>
      </c>
      <c r="H136" s="4" t="s">
        <v>468</v>
      </c>
      <c r="O136" s="296"/>
      <c r="Y136" s="372"/>
    </row>
    <row r="137" ht="20.1" customHeight="1" s="4" customFormat="1">
      <c r="C137" s="22"/>
      <c r="D137" s="22" t="s">
        <v>469</v>
      </c>
      <c r="E137" s="22"/>
      <c r="F137" s="22"/>
      <c r="G137" s="22"/>
      <c r="H137" s="22" t="s">
        <v>470</v>
      </c>
      <c r="I137" s="22"/>
      <c r="J137" s="22"/>
      <c r="K137" s="22"/>
      <c r="L137" s="22"/>
      <c r="O137" s="296"/>
      <c r="Y137" s="372"/>
    </row>
    <row r="138" ht="15" customHeight="1" s="4" customFormat="1">
      <c r="O138" s="296"/>
      <c r="Y138" s="372"/>
    </row>
    <row r="139" ht="15" customHeight="1" s="4" customFormat="1">
      <c r="C139" s="4" t="s">
        <v>471</v>
      </c>
      <c r="D139" s="30" t="s">
        <v>173</v>
      </c>
      <c r="E139" s="4" t="s">
        <v>472</v>
      </c>
      <c r="O139" s="296"/>
      <c r="Y139" s="372"/>
      <c r="AD139" s="372"/>
      <c r="AF139" s="372"/>
    </row>
    <row r="140" ht="15" customHeight="1" s="4" customFormat="1">
      <c r="D140" s="30" t="s">
        <v>173</v>
      </c>
      <c r="E140" s="4" t="s">
        <v>473</v>
      </c>
      <c r="O140" s="296"/>
      <c r="Y140" s="372"/>
      <c r="AD140" s="372"/>
      <c r="AF140" s="372"/>
    </row>
    <row r="141" ht="15" customHeight="1" s="4" customFormat="1">
      <c r="C141" s="4" t="s">
        <v>474</v>
      </c>
      <c r="D141" s="30" t="s">
        <v>173</v>
      </c>
      <c r="E141" s="4" t="s">
        <v>475</v>
      </c>
      <c r="O141" s="296"/>
      <c r="Y141" s="372"/>
      <c r="AD141" s="372"/>
      <c r="AF141" s="372"/>
    </row>
    <row r="142" ht="15" customHeight="1" s="4" customFormat="1">
      <c r="C142" s="4" t="s">
        <v>476</v>
      </c>
      <c r="D142" s="30"/>
      <c r="O142" s="296"/>
      <c r="Y142" s="372"/>
      <c r="AD142" s="372"/>
      <c r="AF142" s="372"/>
    </row>
    <row r="143" ht="15" customHeight="1" s="4" customFormat="1">
      <c r="D143" s="30"/>
      <c r="O143" s="296"/>
      <c r="Y143" s="372"/>
      <c r="AD143" s="372"/>
      <c r="AF143" s="372"/>
    </row>
    <row r="144" ht="15" customHeight="1" s="4" customFormat="1">
      <c r="C144" s="4" t="s">
        <v>477</v>
      </c>
      <c r="D144" s="30"/>
      <c r="O144" s="296"/>
      <c r="Y144" s="372"/>
      <c r="AD144" s="372"/>
      <c r="AF144" s="372"/>
    </row>
    <row r="145" ht="15" customHeight="1" s="4" customFormat="1">
      <c r="C145" s="59" t="s">
        <v>478</v>
      </c>
      <c r="D145" s="30"/>
      <c r="O145" s="296"/>
      <c r="Y145" s="372"/>
      <c r="AD145" s="372"/>
      <c r="AF145" s="372"/>
    </row>
    <row r="146" ht="15" customHeight="1" s="4" customFormat="1">
      <c r="C146" s="156" t="s">
        <v>1030</v>
      </c>
      <c r="D146" s="30"/>
      <c r="O146" s="296"/>
      <c r="Y146" s="372"/>
      <c r="AD146" s="372"/>
      <c r="AF146" s="372"/>
    </row>
    <row r="147" ht="20.1" customHeight="1" s="4" customFormat="1">
      <c r="C147" s="46" t="s">
        <v>163</v>
      </c>
      <c r="D147" s="46"/>
      <c r="E147" s="46"/>
      <c r="F147" s="46"/>
      <c r="G147" s="46"/>
      <c r="H147" s="46" t="s">
        <v>334</v>
      </c>
      <c r="I147" s="46"/>
      <c r="J147" s="46"/>
      <c r="K147" s="46"/>
      <c r="L147" s="46"/>
      <c r="O147" s="296"/>
      <c r="Y147" s="372"/>
    </row>
    <row r="148" ht="20.1" customHeight="1" s="4" customFormat="1">
      <c r="C148" s="158" t="s">
        <v>480</v>
      </c>
      <c r="E148" s="4" t="s">
        <v>481</v>
      </c>
      <c r="H148" s="4" t="s">
        <v>482</v>
      </c>
      <c r="O148" s="296"/>
      <c r="Y148" s="372"/>
    </row>
    <row r="149" ht="20.1" customHeight="1" s="4" customFormat="1">
      <c r="C149" s="49"/>
      <c r="D149" s="49"/>
      <c r="E149" s="49" t="s">
        <v>483</v>
      </c>
      <c r="F149" s="49"/>
      <c r="G149" s="49"/>
      <c r="H149" s="49" t="s">
        <v>484</v>
      </c>
      <c r="I149" s="49"/>
      <c r="J149" s="49"/>
      <c r="K149" s="49"/>
      <c r="L149" s="49"/>
      <c r="O149" s="296"/>
      <c r="Y149" s="372"/>
    </row>
    <row r="150" ht="20.1" customHeight="1" s="4" customFormat="1">
      <c r="C150" s="159" t="s">
        <v>485</v>
      </c>
      <c r="D150" s="22"/>
      <c r="E150" s="22"/>
      <c r="F150" s="22"/>
      <c r="G150" s="22"/>
      <c r="H150" s="22" t="s">
        <v>486</v>
      </c>
      <c r="I150" s="22"/>
      <c r="J150" s="22"/>
      <c r="K150" s="22"/>
      <c r="L150" s="22"/>
      <c r="O150" s="296"/>
      <c r="Y150" s="372"/>
    </row>
    <row r="151" ht="15" customHeight="1" s="4" customFormat="1">
      <c r="C151" s="156"/>
      <c r="D151" s="30"/>
      <c r="O151" s="296"/>
      <c r="Y151" s="372"/>
      <c r="AD151" s="372"/>
      <c r="AF151" s="372"/>
    </row>
    <row r="152" ht="15" customHeight="1" s="4" customFormat="1">
      <c r="C152" s="4" t="s">
        <v>1031</v>
      </c>
      <c r="D152" s="30" t="s">
        <v>173</v>
      </c>
      <c r="E152" s="4" t="s">
        <v>1032</v>
      </c>
      <c r="O152" s="296"/>
      <c r="Y152" s="372"/>
      <c r="AD152" s="372"/>
      <c r="AF152" s="372"/>
    </row>
    <row r="153" ht="15" customHeight="1" s="4" customFormat="1">
      <c r="C153" s="156"/>
      <c r="D153" s="30"/>
      <c r="E153" s="4" t="s">
        <v>1033</v>
      </c>
      <c r="O153" s="296"/>
      <c r="Y153" s="372"/>
      <c r="AD153" s="372"/>
      <c r="AF153" s="372"/>
    </row>
    <row r="154" ht="15" customHeight="1" s="4" customFormat="1">
      <c r="C154" s="129" t="s">
        <v>490</v>
      </c>
      <c r="D154" s="30" t="s">
        <v>173</v>
      </c>
      <c r="E154" s="4" t="s">
        <v>491</v>
      </c>
      <c r="O154" s="296"/>
      <c r="Y154" s="372"/>
      <c r="AD154" s="372"/>
      <c r="AF154" s="372"/>
    </row>
    <row r="155" ht="15" customHeight="1" s="4" customFormat="1">
      <c r="C155" s="4" t="s">
        <v>1034</v>
      </c>
      <c r="D155" s="30"/>
      <c r="O155" s="296"/>
      <c r="Y155" s="372"/>
      <c r="AD155" s="372"/>
      <c r="AF155" s="372"/>
    </row>
    <row r="156" ht="15" customHeight="1" s="4" customFormat="1">
      <c r="C156" s="4" t="s">
        <v>1035</v>
      </c>
      <c r="D156" s="30"/>
      <c r="O156" s="296"/>
      <c r="Y156" s="372"/>
      <c r="AD156" s="372"/>
      <c r="AF156" s="372"/>
    </row>
    <row r="157" ht="15" customHeight="1" s="4" customFormat="1">
      <c r="C157" s="130"/>
      <c r="D157" s="30"/>
      <c r="O157" s="296"/>
      <c r="Y157" s="372"/>
      <c r="AD157" s="372"/>
      <c r="AF157" s="372"/>
    </row>
    <row r="158" ht="15" customHeight="1" s="4" customFormat="1">
      <c r="A158" s="11"/>
      <c r="B158" s="375" t="s">
        <v>197</v>
      </c>
      <c r="C158" s="4" t="s">
        <v>1036</v>
      </c>
      <c r="D158" s="156"/>
      <c r="E158" s="156"/>
      <c r="F158" s="156"/>
      <c r="G158" s="38"/>
      <c r="L158" s="372"/>
      <c r="O158" s="296"/>
      <c r="Y158" s="372"/>
      <c r="AD158" s="372"/>
      <c r="AF158" s="372"/>
    </row>
    <row r="159" ht="15" customHeight="1" s="4" customFormat="1">
      <c r="A159" s="11"/>
      <c r="C159" s="4" t="s">
        <v>1037</v>
      </c>
      <c r="E159" s="30"/>
      <c r="G159" s="38"/>
      <c r="L159" s="372"/>
      <c r="N159" s="68" t="s">
        <v>1038</v>
      </c>
      <c r="O159" s="296"/>
      <c r="Y159" s="372"/>
      <c r="AD159" s="372"/>
      <c r="AF159" s="372"/>
    </row>
    <row r="160" ht="15" customHeight="1" s="4" customFormat="1">
      <c r="A160" s="11"/>
      <c r="E160" s="30"/>
      <c r="G160" s="38"/>
      <c r="L160" s="372"/>
      <c r="O160" s="296"/>
      <c r="Y160" s="372"/>
      <c r="AD160" s="372"/>
      <c r="AF160" s="372"/>
    </row>
    <row r="161" ht="15" customHeight="1" s="4" customFormat="1">
      <c r="A161" s="11"/>
      <c r="E161" s="30"/>
      <c r="G161" s="38"/>
      <c r="L161" s="372"/>
      <c r="O161" s="296"/>
      <c r="Y161" s="372"/>
      <c r="AD161" s="372"/>
      <c r="AF161" s="372"/>
    </row>
    <row r="162" ht="15" customHeight="1" s="4" customFormat="1">
      <c r="A162" s="11"/>
      <c r="E162" s="30"/>
      <c r="G162" s="38"/>
      <c r="L162" s="372"/>
      <c r="O162" s="296"/>
      <c r="Y162" s="372"/>
      <c r="AD162" s="372"/>
      <c r="AF162" s="372"/>
    </row>
    <row r="163" ht="15" customHeight="1" s="4" customFormat="1">
      <c r="A163" s="11"/>
      <c r="E163" s="30"/>
      <c r="G163" s="38"/>
      <c r="L163" s="372"/>
      <c r="O163" s="296"/>
      <c r="Y163" s="372"/>
      <c r="AD163" s="372"/>
      <c r="AF163" s="372"/>
    </row>
    <row r="164" ht="15" customHeight="1" s="4" customFormat="1">
      <c r="A164" s="11"/>
      <c r="E164" s="30"/>
      <c r="G164" s="38"/>
      <c r="L164" s="372"/>
      <c r="O164" s="296"/>
      <c r="Y164" s="372"/>
      <c r="AD164" s="372"/>
      <c r="AF164" s="372"/>
    </row>
    <row r="165" ht="15" customHeight="1" s="4" customFormat="1">
      <c r="A165" s="11"/>
      <c r="E165" s="30"/>
      <c r="G165" s="38"/>
      <c r="L165" s="372"/>
      <c r="O165" s="296"/>
      <c r="Y165" s="372"/>
      <c r="AD165" s="372"/>
      <c r="AF165" s="372"/>
    </row>
    <row r="166" ht="15" customHeight="1" s="4" customFormat="1">
      <c r="A166" s="11"/>
      <c r="E166" s="30"/>
      <c r="G166" s="38"/>
      <c r="L166" s="372"/>
      <c r="O166" s="296"/>
      <c r="Y166" s="372"/>
      <c r="AD166" s="372"/>
      <c r="AF166" s="372"/>
    </row>
    <row r="167" ht="15" customHeight="1" s="4" customFormat="1">
      <c r="A167" s="11"/>
      <c r="E167" s="30"/>
      <c r="G167" s="38"/>
      <c r="L167" s="372"/>
      <c r="O167" s="296"/>
      <c r="Y167" s="372"/>
      <c r="AD167" s="372"/>
      <c r="AF167" s="372"/>
    </row>
    <row r="168" ht="15" customHeight="1" s="4" customFormat="1">
      <c r="A168" s="11"/>
      <c r="E168" s="30"/>
      <c r="G168" s="38"/>
      <c r="L168" s="372"/>
      <c r="O168" s="296"/>
      <c r="Y168" s="372"/>
      <c r="AD168" s="372"/>
      <c r="AF168" s="372"/>
    </row>
    <row r="169" ht="15" customHeight="1" s="4" customFormat="1">
      <c r="A169" s="11"/>
      <c r="E169" s="30"/>
      <c r="G169" s="38"/>
      <c r="L169" s="372"/>
      <c r="O169" s="296"/>
      <c r="Y169" s="372"/>
      <c r="AD169" s="372"/>
      <c r="AF169" s="372"/>
    </row>
    <row r="170" ht="15" customHeight="1" s="4" customFormat="1">
      <c r="A170" s="11"/>
      <c r="C170" s="505" t="s">
        <v>1039</v>
      </c>
      <c r="D170" s="539" t="s">
        <v>173</v>
      </c>
      <c r="E170" s="403" t="s">
        <v>1040</v>
      </c>
      <c r="F170" s="22"/>
      <c r="G170" s="318"/>
      <c r="L170" s="372"/>
      <c r="O170" s="296"/>
      <c r="Y170" s="372"/>
      <c r="AD170" s="372"/>
      <c r="AF170" s="372"/>
    </row>
    <row r="171" ht="15" customHeight="1" s="4" customFormat="1">
      <c r="A171" s="11"/>
      <c r="C171" s="505"/>
      <c r="D171" s="539"/>
      <c r="E171" s="30"/>
      <c r="F171" s="4" t="s">
        <v>783</v>
      </c>
      <c r="G171" s="38"/>
      <c r="L171" s="372"/>
      <c r="O171" s="296"/>
      <c r="Y171" s="372"/>
      <c r="AD171" s="372"/>
      <c r="AF171" s="372"/>
    </row>
    <row r="172" ht="15" customHeight="1" s="4" customFormat="1">
      <c r="A172" s="11"/>
      <c r="C172" s="505" t="s">
        <v>1041</v>
      </c>
      <c r="D172" s="539" t="s">
        <v>173</v>
      </c>
      <c r="E172" s="22" t="s">
        <v>1042</v>
      </c>
      <c r="F172" s="539" t="s">
        <v>255</v>
      </c>
      <c r="G172" s="403" t="s">
        <v>1040</v>
      </c>
      <c r="H172" s="22"/>
      <c r="I172" s="318"/>
      <c r="L172" s="372"/>
      <c r="O172" s="296"/>
      <c r="R172" s="109"/>
      <c r="Y172" s="372"/>
      <c r="AD172" s="372"/>
      <c r="AF172" s="372"/>
    </row>
    <row r="173" ht="15" customHeight="1" s="4" customFormat="1">
      <c r="A173" s="11"/>
      <c r="C173" s="505"/>
      <c r="D173" s="539"/>
      <c r="E173" s="372" t="s">
        <v>1043</v>
      </c>
      <c r="F173" s="492"/>
      <c r="G173" s="30"/>
      <c r="H173" s="4" t="s">
        <v>787</v>
      </c>
      <c r="I173" s="38"/>
      <c r="L173" s="372"/>
      <c r="O173" s="296"/>
      <c r="Q173" s="109"/>
      <c r="R173" s="109"/>
      <c r="Y173" s="372"/>
      <c r="AD173" s="372"/>
      <c r="AF173" s="372"/>
    </row>
    <row r="174" ht="15" customHeight="1" s="4" customFormat="1">
      <c r="O174" s="296"/>
    </row>
    <row r="175" ht="15" customHeight="1" s="4" customFormat="1">
      <c r="A175" s="59" t="s">
        <v>1044</v>
      </c>
      <c r="D175" s="30"/>
      <c r="K175" s="372"/>
      <c r="O175" s="296"/>
      <c r="Z175" s="372"/>
      <c r="AC175" s="372"/>
    </row>
    <row r="176" ht="15" customHeight="1" s="4" customFormat="1">
      <c r="A176" s="72" t="s">
        <v>230</v>
      </c>
      <c r="B176" s="490" t="s">
        <v>1045</v>
      </c>
      <c r="C176" s="490"/>
      <c r="D176" s="73" t="s">
        <v>1046</v>
      </c>
      <c r="E176" s="73" t="s">
        <v>390</v>
      </c>
      <c r="F176" s="73" t="s">
        <v>471</v>
      </c>
      <c r="G176" s="73" t="s">
        <v>497</v>
      </c>
      <c r="H176" s="382" t="s">
        <v>490</v>
      </c>
      <c r="I176" s="73" t="s">
        <v>25</v>
      </c>
      <c r="J176" s="73" t="s">
        <v>334</v>
      </c>
      <c r="K176" s="73" t="s">
        <v>498</v>
      </c>
      <c r="L176" s="73" t="s">
        <v>1047</v>
      </c>
      <c r="M176" s="74" t="s">
        <v>246</v>
      </c>
      <c r="O176" s="296"/>
    </row>
    <row r="177" ht="15" customHeight="1" s="4" customFormat="1">
      <c r="A177" s="75"/>
      <c r="B177" s="76" t="s">
        <v>957</v>
      </c>
      <c r="C177" s="76" t="s">
        <v>960</v>
      </c>
      <c r="D177" s="150"/>
      <c r="E177" s="150"/>
      <c r="F177" s="76"/>
      <c r="G177" s="76"/>
      <c r="H177" s="76"/>
      <c r="I177" s="76"/>
      <c r="J177" s="76"/>
      <c r="K177" s="76"/>
      <c r="L177" s="76"/>
      <c r="M177" s="77"/>
      <c r="O177" s="296"/>
    </row>
    <row r="178" ht="15" customHeight="1">
      <c r="A178" s="187">
        <f>A42</f>
        <v>101</v>
      </c>
      <c r="B178" s="191">
        <f>B42</f>
        <v>0.73050782555113025</v>
      </c>
      <c r="C178" s="191">
        <f>C42</f>
        <v>-0.691624579055492</v>
      </c>
      <c r="D178" s="191">
        <f>INPUT!J3+INPUT!L3+INPUT!N3</f>
        <v>2834</v>
      </c>
      <c r="E178" s="343">
        <f>IF(B178&lt;=0,INPUT!J3,INPUT!L3)</f>
        <v>12</v>
      </c>
      <c r="F178" s="191">
        <f>IF(AND(B178=0,C178=0),I178,IF((ABS(B178)+ABS(C178))=0,0,IF(B178&lt;=0,ABS(B178),ABS(C178))/(ABS(B178)+ABS(C178))*D178-E178))</f>
        <v>1366.2570811931114</v>
      </c>
      <c r="G178" s="191">
        <f>IF(INPUT!AB3=1,0.2,IF(INPUT!AB3=2,0.25,0))*INPUT!N3</f>
        <v>700</v>
      </c>
      <c r="H178" s="192">
        <f>IF(OR(B178=0,C178=0),0,IF(B178&lt;=0,C178/B178,B178/C178))</f>
        <v>-1.0562201628934858</v>
      </c>
      <c r="I178" s="191">
        <f>INPUT!N3</f>
        <v>2800</v>
      </c>
      <c r="J178" s="195">
        <f>IF(INPUT!AB3=0,9/(F178/I178)^2,IF(INPUT!AB3=1,IF(AND(B178&lt;=0,C178&lt;=0),7.2,IF(G178/F178&gt;=0.4,MAX(5.17/(G178/I178)^2,9/(F178/I178)^2),11.64/((F178-G178)/I178)^2)),IF(H178&gt;=-1,247.8*((G178/F178)^1.8)*(1-H178)^2.7,247.8*(1-H178)^0.32)))</f>
        <v>312.09267694395447</v>
      </c>
      <c r="K178" s="131">
        <f>MIN(0.9*INPUT!$B$2*J178/(INPUT!N3/COS(INPUT!P3)/INPUT!O3)^2,J42*INPUT!AO3,INPUT!AQ3/0.7)</f>
        <v>0</v>
      </c>
      <c r="L178" s="131">
        <f>IF(B178&lt;=0,B178,C178)</f>
        <v>-0.691624579055492</v>
      </c>
      <c r="M178" s="203" t="str">
        <f>IF(ABS(L178)&lt;=K178,"OK","NG")</f>
        <v>NG</v>
      </c>
      <c r="N178" s="4"/>
    </row>
    <row r="179">
      <c r="A179" s="187">
        <f>A43</f>
        <v>101</v>
      </c>
      <c r="B179" s="191">
        <f>B43</f>
        <v>0.73050782555113025</v>
      </c>
      <c r="C179" s="191">
        <f>C43</f>
        <v>-0.691624579055492</v>
      </c>
      <c r="D179" s="191">
        <f>INPUT!J4+INPUT!L4+INPUT!N4</f>
        <v>2834</v>
      </c>
      <c r="E179" s="343">
        <f>IF(B179&lt;=0,INPUT!J4,INPUT!L4)</f>
        <v>12</v>
      </c>
      <c r="F179" s="191">
        <f>IF(AND(B179=0,C179=0),I179,IF((ABS(B179)+ABS(C179))=0,0,IF(B179&lt;=0,ABS(B179),ABS(C179))/(ABS(B179)+ABS(C179))*D179-E179))</f>
        <v>1366.2570811931114</v>
      </c>
      <c r="G179" s="191">
        <f>IF(INPUT!AB4=1,0.2,IF(INPUT!AB4=2,0.25,0))*INPUT!N4</f>
        <v>700</v>
      </c>
      <c r="H179" s="192">
        <f>IF(OR(B179=0,C179=0),0,IF(B179&lt;=0,C179/B179,B179/C179))</f>
        <v>-1.0562201628934858</v>
      </c>
      <c r="I179" s="191">
        <f>INPUT!N4</f>
        <v>2800</v>
      </c>
      <c r="J179" s="195">
        <f>IF(INPUT!AB4=0,9/(F179/I179)^2,IF(INPUT!AB4=1,IF(AND(B179&lt;=0,C179&lt;=0),7.2,IF(G179/F179&gt;=0.4,MAX(5.17/(G179/I179)^2,9/(F179/I179)^2),11.64/((F179-G179)/I179)^2)),IF(H179&gt;=-1,247.8*((G179/F179)^1.8)*(1-H179)^2.7,247.8*(1-H179)^0.32)))</f>
        <v>312.09267694395447</v>
      </c>
      <c r="K179" s="131">
        <f>MIN(0.9*INPUT!$B$2*J179/(INPUT!N4/COS(INPUT!P4)/INPUT!O4)^2,J43*INPUT!AO4,INPUT!AQ4/0.7)</f>
        <v>0</v>
      </c>
      <c r="L179" s="131">
        <f>IF(B179&lt;=0,B179,C179)</f>
        <v>-0.691624579055492</v>
      </c>
      <c r="M179" s="203" t="str">
        <f>IF(ABS(L179)&lt;=K179,"OK","NG")</f>
        <v>NG</v>
      </c>
      <c r="N179" s="4"/>
    </row>
    <row r="180">
      <c r="A180" s="187">
        <f>A44</f>
        <v>101</v>
      </c>
      <c r="B180" s="191">
        <f>B44</f>
        <v>0.73050782555113025</v>
      </c>
      <c r="C180" s="191">
        <f>C44</f>
        <v>-0.691624579055492</v>
      </c>
      <c r="D180" s="191">
        <f>INPUT!J5+INPUT!L5+INPUT!N5</f>
        <v>2834</v>
      </c>
      <c r="E180" s="343">
        <f>IF(B180&lt;=0,INPUT!J5,INPUT!L5)</f>
        <v>12</v>
      </c>
      <c r="F180" s="191">
        <f>IF(AND(B180=0,C180=0),I180,IF((ABS(B180)+ABS(C180))=0,0,IF(B180&lt;=0,ABS(B180),ABS(C180))/(ABS(B180)+ABS(C180))*D180-E180))</f>
        <v>1366.2570811931114</v>
      </c>
      <c r="G180" s="191">
        <f>IF(INPUT!AB5=1,0.2,IF(INPUT!AB5=2,0.25,0))*INPUT!N5</f>
        <v>700</v>
      </c>
      <c r="H180" s="192">
        <f>IF(OR(B180=0,C180=0),0,IF(B180&lt;=0,C180/B180,B180/C180))</f>
        <v>-1.0562201628934858</v>
      </c>
      <c r="I180" s="191">
        <f>INPUT!N5</f>
        <v>2800</v>
      </c>
      <c r="J180" s="195">
        <f>IF(INPUT!AB5=0,9/(F180/I180)^2,IF(INPUT!AB5=1,IF(AND(B180&lt;=0,C180&lt;=0),7.2,IF(G180/F180&gt;=0.4,MAX(5.17/(G180/I180)^2,9/(F180/I180)^2),11.64/((F180-G180)/I180)^2)),IF(H180&gt;=-1,247.8*((G180/F180)^1.8)*(1-H180)^2.7,247.8*(1-H180)^0.32)))</f>
        <v>312.09267694395447</v>
      </c>
      <c r="K180" s="131">
        <f>MIN(0.9*INPUT!$B$2*J180/(INPUT!N5/COS(INPUT!P5)/INPUT!O5)^2,J44*INPUT!AO5,INPUT!AQ5/0.7)</f>
        <v>0</v>
      </c>
      <c r="L180" s="131">
        <f>IF(B180&lt;=0,B180,C180)</f>
        <v>-0.691624579055492</v>
      </c>
      <c r="M180" s="203" t="str">
        <f>IF(ABS(L180)&lt;=K180,"OK","NG")</f>
        <v>NG</v>
      </c>
      <c r="N180" s="4"/>
    </row>
    <row r="181">
      <c r="A181" s="187">
        <f>A45</f>
        <v>101</v>
      </c>
      <c r="B181" s="191">
        <f>B45</f>
        <v>0.73050782555113025</v>
      </c>
      <c r="C181" s="191">
        <f>C45</f>
        <v>-0.691624579055492</v>
      </c>
      <c r="D181" s="191">
        <f>INPUT!J6+INPUT!L6+INPUT!N6</f>
        <v>2834</v>
      </c>
      <c r="E181" s="343">
        <f>IF(B181&lt;=0,INPUT!J6,INPUT!L6)</f>
        <v>12</v>
      </c>
      <c r="F181" s="191">
        <f>IF(AND(B181=0,C181=0),I181,IF((ABS(B181)+ABS(C181))=0,0,IF(B181&lt;=0,ABS(B181),ABS(C181))/(ABS(B181)+ABS(C181))*D181-E181))</f>
        <v>1366.2570811931114</v>
      </c>
      <c r="G181" s="191">
        <f>IF(INPUT!AB6=1,0.2,IF(INPUT!AB6=2,0.25,0))*INPUT!N6</f>
        <v>700</v>
      </c>
      <c r="H181" s="192">
        <f>IF(OR(B181=0,C181=0),0,IF(B181&lt;=0,C181/B181,B181/C181))</f>
        <v>-1.0562201628934858</v>
      </c>
      <c r="I181" s="191">
        <f>INPUT!N6</f>
        <v>2800</v>
      </c>
      <c r="J181" s="195">
        <f>IF(INPUT!AB6=0,9/(F181/I181)^2,IF(INPUT!AB6=1,IF(AND(B181&lt;=0,C181&lt;=0),7.2,IF(G181/F181&gt;=0.4,MAX(5.17/(G181/I181)^2,9/(F181/I181)^2),11.64/((F181-G181)/I181)^2)),IF(H181&gt;=-1,247.8*((G181/F181)^1.8)*(1-H181)^2.7,247.8*(1-H181)^0.32)))</f>
        <v>312.09267694395447</v>
      </c>
      <c r="K181" s="131">
        <f>MIN(0.9*INPUT!$B$2*J181/(INPUT!N6/COS(INPUT!P6)/INPUT!O6)^2,J45*INPUT!AO6,INPUT!AQ6/0.7)</f>
        <v>0</v>
      </c>
      <c r="L181" s="131">
        <f>IF(B181&lt;=0,B181,C181)</f>
        <v>-0.691624579055492</v>
      </c>
      <c r="M181" s="203" t="str">
        <f>IF(ABS(L181)&lt;=K181,"OK","NG")</f>
        <v>NG</v>
      </c>
      <c r="N181" s="4"/>
    </row>
    <row r="182">
      <c r="A182" s="187">
        <f>A46</f>
        <v>101</v>
      </c>
      <c r="B182" s="191">
        <f>B46</f>
        <v>0.73050782555113025</v>
      </c>
      <c r="C182" s="191">
        <f>C46</f>
        <v>-0.691624579055492</v>
      </c>
      <c r="D182" s="191">
        <f>INPUT!J7+INPUT!L7+INPUT!N7</f>
        <v>2834</v>
      </c>
      <c r="E182" s="343">
        <f>IF(B182&lt;=0,INPUT!J7,INPUT!L7)</f>
        <v>12</v>
      </c>
      <c r="F182" s="191">
        <f>IF(AND(B182=0,C182=0),I182,IF((ABS(B182)+ABS(C182))=0,0,IF(B182&lt;=0,ABS(B182),ABS(C182))/(ABS(B182)+ABS(C182))*D182-E182))</f>
        <v>1366.2570811931114</v>
      </c>
      <c r="G182" s="191">
        <f>IF(INPUT!AB7=1,0.2,IF(INPUT!AB7=2,0.25,0))*INPUT!N7</f>
        <v>700</v>
      </c>
      <c r="H182" s="192">
        <f>IF(OR(B182=0,C182=0),0,IF(B182&lt;=0,C182/B182,B182/C182))</f>
        <v>-1.0562201628934858</v>
      </c>
      <c r="I182" s="191">
        <f>INPUT!N7</f>
        <v>2800</v>
      </c>
      <c r="J182" s="195">
        <f>IF(INPUT!AB7=0,9/(F182/I182)^2,IF(INPUT!AB7=1,IF(AND(B182&lt;=0,C182&lt;=0),7.2,IF(G182/F182&gt;=0.4,MAX(5.17/(G182/I182)^2,9/(F182/I182)^2),11.64/((F182-G182)/I182)^2)),IF(H182&gt;=-1,247.8*((G182/F182)^1.8)*(1-H182)^2.7,247.8*(1-H182)^0.32)))</f>
        <v>312.09267694395447</v>
      </c>
      <c r="K182" s="131">
        <f>MIN(0.9*INPUT!$B$2*J182/(INPUT!N7/COS(INPUT!P7)/INPUT!O7)^2,J46*INPUT!AO7,INPUT!AQ7/0.7)</f>
        <v>0</v>
      </c>
      <c r="L182" s="131">
        <f>IF(B182&lt;=0,B182,C182)</f>
        <v>-0.691624579055492</v>
      </c>
      <c r="M182" s="203" t="str">
        <f>IF(ABS(L182)&lt;=K182,"OK","NG")</f>
        <v>NG</v>
      </c>
      <c r="N182" s="4"/>
    </row>
    <row r="183">
      <c r="A183" s="187">
        <f>A47</f>
        <v>101</v>
      </c>
      <c r="B183" s="191">
        <f>B47</f>
        <v>0.73050782555113025</v>
      </c>
      <c r="C183" s="191">
        <f>C47</f>
        <v>-0.691624579055492</v>
      </c>
      <c r="D183" s="191">
        <f>INPUT!J8+INPUT!L8+INPUT!N8</f>
        <v>2834</v>
      </c>
      <c r="E183" s="343">
        <f>IF(B183&lt;=0,INPUT!J8,INPUT!L8)</f>
        <v>12</v>
      </c>
      <c r="F183" s="191">
        <f>IF(AND(B183=0,C183=0),I183,IF((ABS(B183)+ABS(C183))=0,0,IF(B183&lt;=0,ABS(B183),ABS(C183))/(ABS(B183)+ABS(C183))*D183-E183))</f>
        <v>1366.2570811931114</v>
      </c>
      <c r="G183" s="191">
        <f>IF(INPUT!AB8=1,0.2,IF(INPUT!AB8=2,0.25,0))*INPUT!N8</f>
        <v>700</v>
      </c>
      <c r="H183" s="192">
        <f>IF(OR(B183=0,C183=0),0,IF(B183&lt;=0,C183/B183,B183/C183))</f>
        <v>-1.0562201628934858</v>
      </c>
      <c r="I183" s="191">
        <f>INPUT!N8</f>
        <v>2800</v>
      </c>
      <c r="J183" s="195">
        <f>IF(INPUT!AB8=0,9/(F183/I183)^2,IF(INPUT!AB8=1,IF(AND(B183&lt;=0,C183&lt;=0),7.2,IF(G183/F183&gt;=0.4,MAX(5.17/(G183/I183)^2,9/(F183/I183)^2),11.64/((F183-G183)/I183)^2)),IF(H183&gt;=-1,247.8*((G183/F183)^1.8)*(1-H183)^2.7,247.8*(1-H183)^0.32)))</f>
        <v>312.09267694395447</v>
      </c>
      <c r="K183" s="131">
        <f>MIN(0.9*INPUT!$B$2*J183/(INPUT!N8/COS(INPUT!P8)/INPUT!O8)^2,J47*INPUT!AO8,INPUT!AQ8/0.7)</f>
        <v>0</v>
      </c>
      <c r="L183" s="131">
        <f>IF(B183&lt;=0,B183,C183)</f>
        <v>-0.691624579055492</v>
      </c>
      <c r="M183" s="203" t="str">
        <f>IF(ABS(L183)&lt;=K183,"OK","NG")</f>
        <v>NG</v>
      </c>
      <c r="N183" s="4"/>
    </row>
    <row r="184">
      <c r="A184" s="187">
        <f>A48</f>
        <v>101</v>
      </c>
      <c r="B184" s="191">
        <f>B48</f>
        <v>0.73050782555113025</v>
      </c>
      <c r="C184" s="191">
        <f>C48</f>
        <v>-0.691624579055492</v>
      </c>
      <c r="D184" s="191">
        <f>INPUT!J9+INPUT!L9+INPUT!N9</f>
        <v>2834</v>
      </c>
      <c r="E184" s="343">
        <f>IF(B184&lt;=0,INPUT!J9,INPUT!L9)</f>
        <v>12</v>
      </c>
      <c r="F184" s="191">
        <f>IF(AND(B184=0,C184=0),I184,IF((ABS(B184)+ABS(C184))=0,0,IF(B184&lt;=0,ABS(B184),ABS(C184))/(ABS(B184)+ABS(C184))*D184-E184))</f>
        <v>1366.2570811931114</v>
      </c>
      <c r="G184" s="191">
        <f>IF(INPUT!AB9=1,0.2,IF(INPUT!AB9=2,0.25,0))*INPUT!N9</f>
        <v>700</v>
      </c>
      <c r="H184" s="192">
        <f>IF(OR(B184=0,C184=0),0,IF(B184&lt;=0,C184/B184,B184/C184))</f>
        <v>-1.0562201628934858</v>
      </c>
      <c r="I184" s="191">
        <f>INPUT!N9</f>
        <v>2800</v>
      </c>
      <c r="J184" s="195">
        <f>IF(INPUT!AB9=0,9/(F184/I184)^2,IF(INPUT!AB9=1,IF(AND(B184&lt;=0,C184&lt;=0),7.2,IF(G184/F184&gt;=0.4,MAX(5.17/(G184/I184)^2,9/(F184/I184)^2),11.64/((F184-G184)/I184)^2)),IF(H184&gt;=-1,247.8*((G184/F184)^1.8)*(1-H184)^2.7,247.8*(1-H184)^0.32)))</f>
        <v>312.09267694395447</v>
      </c>
      <c r="K184" s="131">
        <f>MIN(0.9*INPUT!$B$2*J184/(INPUT!N9/COS(INPUT!P9)/INPUT!O9)^2,J48*INPUT!AO9,INPUT!AQ9/0.7)</f>
        <v>0</v>
      </c>
      <c r="L184" s="131">
        <f>IF(B184&lt;=0,B184,C184)</f>
        <v>-0.691624579055492</v>
      </c>
      <c r="M184" s="203" t="str">
        <f>IF(ABS(L184)&lt;=K184,"OK","NG")</f>
        <v>NG</v>
      </c>
      <c r="N184" s="4"/>
    </row>
    <row r="185">
      <c r="A185" s="187">
        <f>A49</f>
        <v>101</v>
      </c>
      <c r="B185" s="191">
        <f>B49</f>
        <v>0.73050782555113025</v>
      </c>
      <c r="C185" s="191">
        <f>C49</f>
        <v>-0.691624579055492</v>
      </c>
      <c r="D185" s="191">
        <f>INPUT!J10+INPUT!L10+INPUT!N10</f>
        <v>2834</v>
      </c>
      <c r="E185" s="343">
        <f>IF(B185&lt;=0,INPUT!J10,INPUT!L10)</f>
        <v>12</v>
      </c>
      <c r="F185" s="191">
        <f>IF(AND(B185=0,C185=0),I185,IF((ABS(B185)+ABS(C185))=0,0,IF(B185&lt;=0,ABS(B185),ABS(C185))/(ABS(B185)+ABS(C185))*D185-E185))</f>
        <v>1366.2570811931114</v>
      </c>
      <c r="G185" s="191">
        <f>IF(INPUT!AB10=1,0.2,IF(INPUT!AB10=2,0.25,0))*INPUT!N10</f>
        <v>700</v>
      </c>
      <c r="H185" s="192">
        <f>IF(OR(B185=0,C185=0),0,IF(B185&lt;=0,C185/B185,B185/C185))</f>
        <v>-1.0562201628934858</v>
      </c>
      <c r="I185" s="191">
        <f>INPUT!N10</f>
        <v>2800</v>
      </c>
      <c r="J185" s="195">
        <f>IF(INPUT!AB10=0,9/(F185/I185)^2,IF(INPUT!AB10=1,IF(AND(B185&lt;=0,C185&lt;=0),7.2,IF(G185/F185&gt;=0.4,MAX(5.17/(G185/I185)^2,9/(F185/I185)^2),11.64/((F185-G185)/I185)^2)),IF(H185&gt;=-1,247.8*((G185/F185)^1.8)*(1-H185)^2.7,247.8*(1-H185)^0.32)))</f>
        <v>312.09267694395447</v>
      </c>
      <c r="K185" s="131">
        <f>MIN(0.9*INPUT!$B$2*J185/(INPUT!N10/COS(INPUT!P10)/INPUT!O10)^2,J49*INPUT!AO10,INPUT!AQ10/0.7)</f>
        <v>0</v>
      </c>
      <c r="L185" s="131">
        <f>IF(B185&lt;=0,B185,C185)</f>
        <v>-0.691624579055492</v>
      </c>
      <c r="M185" s="203" t="str">
        <f>IF(ABS(L185)&lt;=K185,"OK","NG")</f>
        <v>NG</v>
      </c>
      <c r="N185" s="4"/>
    </row>
    <row r="186">
      <c r="A186" s="187">
        <f>A50</f>
        <v>101</v>
      </c>
      <c r="B186" s="191">
        <f>B50</f>
        <v>0.73050782555113025</v>
      </c>
      <c r="C186" s="191">
        <f>C50</f>
        <v>-0.691624579055492</v>
      </c>
      <c r="D186" s="191">
        <f>INPUT!J11+INPUT!L11+INPUT!N11</f>
        <v>2834</v>
      </c>
      <c r="E186" s="343">
        <f>IF(B186&lt;=0,INPUT!J11,INPUT!L11)</f>
        <v>12</v>
      </c>
      <c r="F186" s="191">
        <f>IF(AND(B186=0,C186=0),I186,IF((ABS(B186)+ABS(C186))=0,0,IF(B186&lt;=0,ABS(B186),ABS(C186))/(ABS(B186)+ABS(C186))*D186-E186))</f>
        <v>1366.2570811931114</v>
      </c>
      <c r="G186" s="191">
        <f>IF(INPUT!AB11=1,0.2,IF(INPUT!AB11=2,0.25,0))*INPUT!N11</f>
        <v>700</v>
      </c>
      <c r="H186" s="192">
        <f>IF(OR(B186=0,C186=0),0,IF(B186&lt;=0,C186/B186,B186/C186))</f>
        <v>-1.0562201628934858</v>
      </c>
      <c r="I186" s="191">
        <f>INPUT!N11</f>
        <v>2800</v>
      </c>
      <c r="J186" s="195">
        <f>IF(INPUT!AB11=0,9/(F186/I186)^2,IF(INPUT!AB11=1,IF(AND(B186&lt;=0,C186&lt;=0),7.2,IF(G186/F186&gt;=0.4,MAX(5.17/(G186/I186)^2,9/(F186/I186)^2),11.64/((F186-G186)/I186)^2)),IF(H186&gt;=-1,247.8*((G186/F186)^1.8)*(1-H186)^2.7,247.8*(1-H186)^0.32)))</f>
        <v>312.09267694395447</v>
      </c>
      <c r="K186" s="131">
        <f>MIN(0.9*INPUT!$B$2*J186/(INPUT!N11/COS(INPUT!P11)/INPUT!O11)^2,J50*INPUT!AO11,INPUT!AQ11/0.7)</f>
        <v>0</v>
      </c>
      <c r="L186" s="131">
        <f>IF(B186&lt;=0,B186,C186)</f>
        <v>-0.691624579055492</v>
      </c>
      <c r="M186" s="203" t="str">
        <f>IF(ABS(L186)&lt;=K186,"OK","NG")</f>
        <v>NG</v>
      </c>
      <c r="N186" s="4"/>
    </row>
    <row r="187">
      <c r="A187" s="187">
        <f>A51</f>
        <v>101</v>
      </c>
      <c r="B187" s="191">
        <f>B51</f>
        <v>0.73050782555113025</v>
      </c>
      <c r="C187" s="191">
        <f>C51</f>
        <v>-0.691624579055492</v>
      </c>
      <c r="D187" s="191">
        <f>INPUT!J12+INPUT!L12+INPUT!N12</f>
        <v>2834</v>
      </c>
      <c r="E187" s="343">
        <f>IF(B187&lt;=0,INPUT!J12,INPUT!L12)</f>
        <v>12</v>
      </c>
      <c r="F187" s="191">
        <f>IF(AND(B187=0,C187=0),I187,IF((ABS(B187)+ABS(C187))=0,0,IF(B187&lt;=0,ABS(B187),ABS(C187))/(ABS(B187)+ABS(C187))*D187-E187))</f>
        <v>1366.2570811931114</v>
      </c>
      <c r="G187" s="191">
        <f>IF(INPUT!AB12=1,0.2,IF(INPUT!AB12=2,0.25,0))*INPUT!N12</f>
        <v>700</v>
      </c>
      <c r="H187" s="192">
        <f>IF(OR(B187=0,C187=0),0,IF(B187&lt;=0,C187/B187,B187/C187))</f>
        <v>-1.0562201628934858</v>
      </c>
      <c r="I187" s="191">
        <f>INPUT!N12</f>
        <v>2800</v>
      </c>
      <c r="J187" s="195">
        <f>IF(INPUT!AB12=0,9/(F187/I187)^2,IF(INPUT!AB12=1,IF(AND(B187&lt;=0,C187&lt;=0),7.2,IF(G187/F187&gt;=0.4,MAX(5.17/(G187/I187)^2,9/(F187/I187)^2),11.64/((F187-G187)/I187)^2)),IF(H187&gt;=-1,247.8*((G187/F187)^1.8)*(1-H187)^2.7,247.8*(1-H187)^0.32)))</f>
        <v>312.09267694395447</v>
      </c>
      <c r="K187" s="131">
        <f>MIN(0.9*INPUT!$B$2*J187/(INPUT!N12/COS(INPUT!P12)/INPUT!O12)^2,J51*INPUT!AO12,INPUT!AQ12/0.7)</f>
        <v>0</v>
      </c>
      <c r="L187" s="131">
        <f>IF(B187&lt;=0,B187,C187)</f>
        <v>-0.691624579055492</v>
      </c>
      <c r="M187" s="203" t="str">
        <f>IF(ABS(L187)&lt;=K187,"OK","NG")</f>
        <v>NG</v>
      </c>
      <c r="N187" s="4"/>
    </row>
    <row r="188">
      <c r="A188" s="187">
        <f>A52</f>
        <v>101</v>
      </c>
      <c r="B188" s="191">
        <f>B52</f>
        <v>0.73050782555113025</v>
      </c>
      <c r="C188" s="191">
        <f>C52</f>
        <v>-0.691624579055492</v>
      </c>
      <c r="D188" s="191">
        <f>INPUT!J13+INPUT!L13+INPUT!N13</f>
        <v>2834</v>
      </c>
      <c r="E188" s="343">
        <f>IF(B188&lt;=0,INPUT!J13,INPUT!L13)</f>
        <v>12</v>
      </c>
      <c r="F188" s="191">
        <f>IF(AND(B188=0,C188=0),I188,IF((ABS(B188)+ABS(C188))=0,0,IF(B188&lt;=0,ABS(B188),ABS(C188))/(ABS(B188)+ABS(C188))*D188-E188))</f>
        <v>1366.2570811931114</v>
      </c>
      <c r="G188" s="191">
        <f>IF(INPUT!AB13=1,0.2,IF(INPUT!AB13=2,0.25,0))*INPUT!N13</f>
        <v>700</v>
      </c>
      <c r="H188" s="192">
        <f>IF(OR(B188=0,C188=0),0,IF(B188&lt;=0,C188/B188,B188/C188))</f>
        <v>-1.0562201628934858</v>
      </c>
      <c r="I188" s="191">
        <f>INPUT!N13</f>
        <v>2800</v>
      </c>
      <c r="J188" s="195">
        <f>IF(INPUT!AB13=0,9/(F188/I188)^2,IF(INPUT!AB13=1,IF(AND(B188&lt;=0,C188&lt;=0),7.2,IF(G188/F188&gt;=0.4,MAX(5.17/(G188/I188)^2,9/(F188/I188)^2),11.64/((F188-G188)/I188)^2)),IF(H188&gt;=-1,247.8*((G188/F188)^1.8)*(1-H188)^2.7,247.8*(1-H188)^0.32)))</f>
        <v>312.09267694395447</v>
      </c>
      <c r="K188" s="131">
        <f>MIN(0.9*INPUT!$B$2*J188/(INPUT!N13/COS(INPUT!P13)/INPUT!O13)^2,J52*INPUT!AO13,INPUT!AQ13/0.7)</f>
        <v>0</v>
      </c>
      <c r="L188" s="131">
        <f>IF(B188&lt;=0,B188,C188)</f>
        <v>-0.691624579055492</v>
      </c>
      <c r="M188" s="203" t="str">
        <f>IF(ABS(L188)&lt;=K188,"OK","NG")</f>
        <v>NG</v>
      </c>
      <c r="N188" s="4"/>
    </row>
    <row r="189">
      <c r="A189" s="187">
        <f>A53</f>
        <v>101</v>
      </c>
      <c r="B189" s="191">
        <f>B53</f>
        <v>0.73050782555113025</v>
      </c>
      <c r="C189" s="191">
        <f>C53</f>
        <v>-0.691624579055492</v>
      </c>
      <c r="D189" s="191">
        <f>INPUT!J14+INPUT!L14+INPUT!N14</f>
        <v>2834</v>
      </c>
      <c r="E189" s="343">
        <f>IF(B189&lt;=0,INPUT!J14,INPUT!L14)</f>
        <v>12</v>
      </c>
      <c r="F189" s="191">
        <f>IF(AND(B189=0,C189=0),I189,IF((ABS(B189)+ABS(C189))=0,0,IF(B189&lt;=0,ABS(B189),ABS(C189))/(ABS(B189)+ABS(C189))*D189-E189))</f>
        <v>1366.2570811931114</v>
      </c>
      <c r="G189" s="191">
        <f>IF(INPUT!AB14=1,0.2,IF(INPUT!AB14=2,0.25,0))*INPUT!N14</f>
        <v>700</v>
      </c>
      <c r="H189" s="192">
        <f>IF(OR(B189=0,C189=0),0,IF(B189&lt;=0,C189/B189,B189/C189))</f>
        <v>-1.0562201628934858</v>
      </c>
      <c r="I189" s="191">
        <f>INPUT!N14</f>
        <v>2800</v>
      </c>
      <c r="J189" s="195">
        <f>IF(INPUT!AB14=0,9/(F189/I189)^2,IF(INPUT!AB14=1,IF(AND(B189&lt;=0,C189&lt;=0),7.2,IF(G189/F189&gt;=0.4,MAX(5.17/(G189/I189)^2,9/(F189/I189)^2),11.64/((F189-G189)/I189)^2)),IF(H189&gt;=-1,247.8*((G189/F189)^1.8)*(1-H189)^2.7,247.8*(1-H189)^0.32)))</f>
        <v>312.09267694395447</v>
      </c>
      <c r="K189" s="131">
        <f>MIN(0.9*INPUT!$B$2*J189/(INPUT!N14/COS(INPUT!P14)/INPUT!O14)^2,J53*INPUT!AO14,INPUT!AQ14/0.7)</f>
        <v>0</v>
      </c>
      <c r="L189" s="131">
        <f>IF(B189&lt;=0,B189,C189)</f>
        <v>-0.691624579055492</v>
      </c>
      <c r="M189" s="203" t="str">
        <f>IF(ABS(L189)&lt;=K189,"OK","NG")</f>
        <v>NG</v>
      </c>
      <c r="N189" s="4"/>
    </row>
    <row r="190">
      <c r="A190" s="187">
        <f>A54</f>
        <v>101</v>
      </c>
      <c r="B190" s="191">
        <f>B54</f>
        <v>0.73050782555113025</v>
      </c>
      <c r="C190" s="191">
        <f>C54</f>
        <v>-0.691624579055492</v>
      </c>
      <c r="D190" s="191">
        <f>INPUT!J15+INPUT!L15+INPUT!N15</f>
        <v>2834</v>
      </c>
      <c r="E190" s="343">
        <f>IF(B190&lt;=0,INPUT!J15,INPUT!L15)</f>
        <v>12</v>
      </c>
      <c r="F190" s="191">
        <f>IF(AND(B190=0,C190=0),I190,IF((ABS(B190)+ABS(C190))=0,0,IF(B190&lt;=0,ABS(B190),ABS(C190))/(ABS(B190)+ABS(C190))*D190-E190))</f>
        <v>1366.2570811931114</v>
      </c>
      <c r="G190" s="191">
        <f>IF(INPUT!AB15=1,0.2,IF(INPUT!AB15=2,0.25,0))*INPUT!N15</f>
        <v>700</v>
      </c>
      <c r="H190" s="192">
        <f>IF(OR(B190=0,C190=0),0,IF(B190&lt;=0,C190/B190,B190/C190))</f>
        <v>-1.0562201628934858</v>
      </c>
      <c r="I190" s="191">
        <f>INPUT!N15</f>
        <v>2800</v>
      </c>
      <c r="J190" s="195">
        <f>IF(INPUT!AB15=0,9/(F190/I190)^2,IF(INPUT!AB15=1,IF(AND(B190&lt;=0,C190&lt;=0),7.2,IF(G190/F190&gt;=0.4,MAX(5.17/(G190/I190)^2,9/(F190/I190)^2),11.64/((F190-G190)/I190)^2)),IF(H190&gt;=-1,247.8*((G190/F190)^1.8)*(1-H190)^2.7,247.8*(1-H190)^0.32)))</f>
        <v>312.09267694395447</v>
      </c>
      <c r="K190" s="131">
        <f>MIN(0.9*INPUT!$B$2*J190/(INPUT!N15/COS(INPUT!P15)/INPUT!O15)^2,J54*INPUT!AO15,INPUT!AQ15/0.7)</f>
        <v>0</v>
      </c>
      <c r="L190" s="131">
        <f>IF(B190&lt;=0,B190,C190)</f>
        <v>-0.691624579055492</v>
      </c>
      <c r="M190" s="203" t="str">
        <f>IF(ABS(L190)&lt;=K190,"OK","NG")</f>
        <v>NG</v>
      </c>
      <c r="N190" s="4"/>
    </row>
    <row r="191">
      <c r="A191" s="187">
        <f>A55</f>
        <v>101</v>
      </c>
      <c r="B191" s="191">
        <f>B55</f>
        <v>0.73050782555113025</v>
      </c>
      <c r="C191" s="191">
        <f>C55</f>
        <v>-0.691624579055492</v>
      </c>
      <c r="D191" s="191">
        <f>INPUT!J16+INPUT!L16+INPUT!N16</f>
        <v>2834</v>
      </c>
      <c r="E191" s="343">
        <f>IF(B191&lt;=0,INPUT!J16,INPUT!L16)</f>
        <v>12</v>
      </c>
      <c r="F191" s="191">
        <f>IF(AND(B191=0,C191=0),I191,IF((ABS(B191)+ABS(C191))=0,0,IF(B191&lt;=0,ABS(B191),ABS(C191))/(ABS(B191)+ABS(C191))*D191-E191))</f>
        <v>1366.2570811931114</v>
      </c>
      <c r="G191" s="191">
        <f>IF(INPUT!AB16=1,0.2,IF(INPUT!AB16=2,0.25,0))*INPUT!N16</f>
        <v>700</v>
      </c>
      <c r="H191" s="192">
        <f>IF(OR(B191=0,C191=0),0,IF(B191&lt;=0,C191/B191,B191/C191))</f>
        <v>-1.0562201628934858</v>
      </c>
      <c r="I191" s="191">
        <f>INPUT!N16</f>
        <v>2800</v>
      </c>
      <c r="J191" s="195">
        <f>IF(INPUT!AB16=0,9/(F191/I191)^2,IF(INPUT!AB16=1,IF(AND(B191&lt;=0,C191&lt;=0),7.2,IF(G191/F191&gt;=0.4,MAX(5.17/(G191/I191)^2,9/(F191/I191)^2),11.64/((F191-G191)/I191)^2)),IF(H191&gt;=-1,247.8*((G191/F191)^1.8)*(1-H191)^2.7,247.8*(1-H191)^0.32)))</f>
        <v>312.09267694395447</v>
      </c>
      <c r="K191" s="131">
        <f>MIN(0.9*INPUT!$B$2*J191/(INPUT!N16/COS(INPUT!P16)/INPUT!O16)^2,J55*INPUT!AO16,INPUT!AQ16/0.7)</f>
        <v>0</v>
      </c>
      <c r="L191" s="131">
        <f>IF(B191&lt;=0,B191,C191)</f>
        <v>-0.691624579055492</v>
      </c>
      <c r="M191" s="203" t="str">
        <f>IF(ABS(L191)&lt;=K191,"OK","NG")</f>
        <v>NG</v>
      </c>
      <c r="N191" s="4"/>
    </row>
    <row r="192">
      <c r="A192" s="187">
        <f>A56</f>
        <v>101</v>
      </c>
      <c r="B192" s="191">
        <f>B56</f>
        <v>0.73050782555113025</v>
      </c>
      <c r="C192" s="191">
        <f>C56</f>
        <v>-0.691624579055492</v>
      </c>
      <c r="D192" s="191">
        <f>INPUT!J17+INPUT!L17+INPUT!N17</f>
        <v>2834</v>
      </c>
      <c r="E192" s="343">
        <f>IF(B192&lt;=0,INPUT!J17,INPUT!L17)</f>
        <v>12</v>
      </c>
      <c r="F192" s="191">
        <f>IF(AND(B192=0,C192=0),I192,IF((ABS(B192)+ABS(C192))=0,0,IF(B192&lt;=0,ABS(B192),ABS(C192))/(ABS(B192)+ABS(C192))*D192-E192))</f>
        <v>1366.2570811931114</v>
      </c>
      <c r="G192" s="191">
        <f>IF(INPUT!AB17=1,0.2,IF(INPUT!AB17=2,0.25,0))*INPUT!N17</f>
        <v>700</v>
      </c>
      <c r="H192" s="192">
        <f>IF(OR(B192=0,C192=0),0,IF(B192&lt;=0,C192/B192,B192/C192))</f>
        <v>-1.0562201628934858</v>
      </c>
      <c r="I192" s="191">
        <f>INPUT!N17</f>
        <v>2800</v>
      </c>
      <c r="J192" s="195">
        <f>IF(INPUT!AB17=0,9/(F192/I192)^2,IF(INPUT!AB17=1,IF(AND(B192&lt;=0,C192&lt;=0),7.2,IF(G192/F192&gt;=0.4,MAX(5.17/(G192/I192)^2,9/(F192/I192)^2),11.64/((F192-G192)/I192)^2)),IF(H192&gt;=-1,247.8*((G192/F192)^1.8)*(1-H192)^2.7,247.8*(1-H192)^0.32)))</f>
        <v>312.09267694395447</v>
      </c>
      <c r="K192" s="131">
        <f>MIN(0.9*INPUT!$B$2*J192/(INPUT!N17/COS(INPUT!P17)/INPUT!O17)^2,J56*INPUT!AO17,INPUT!AQ17/0.7)</f>
        <v>0</v>
      </c>
      <c r="L192" s="131">
        <f>IF(B192&lt;=0,B192,C192)</f>
        <v>-0.691624579055492</v>
      </c>
      <c r="M192" s="203" t="str">
        <f>IF(ABS(L192)&lt;=K192,"OK","NG")</f>
        <v>NG</v>
      </c>
      <c r="N192" s="4"/>
    </row>
    <row r="193">
      <c r="A193" s="187">
        <f>A57</f>
        <v>101</v>
      </c>
      <c r="B193" s="191">
        <f>B57</f>
        <v>0.73050782555113025</v>
      </c>
      <c r="C193" s="191">
        <f>C57</f>
        <v>-0.691624579055492</v>
      </c>
      <c r="D193" s="191">
        <f>INPUT!J18+INPUT!L18+INPUT!N18</f>
        <v>2834</v>
      </c>
      <c r="E193" s="343">
        <f>IF(B193&lt;=0,INPUT!J18,INPUT!L18)</f>
        <v>12</v>
      </c>
      <c r="F193" s="191">
        <f>IF(AND(B193=0,C193=0),I193,IF((ABS(B193)+ABS(C193))=0,0,IF(B193&lt;=0,ABS(B193),ABS(C193))/(ABS(B193)+ABS(C193))*D193-E193))</f>
        <v>1366.2570811931114</v>
      </c>
      <c r="G193" s="191">
        <f>IF(INPUT!AB18=1,0.2,IF(INPUT!AB18=2,0.25,0))*INPUT!N18</f>
        <v>700</v>
      </c>
      <c r="H193" s="192">
        <f>IF(OR(B193=0,C193=0),0,IF(B193&lt;=0,C193/B193,B193/C193))</f>
        <v>-1.0562201628934858</v>
      </c>
      <c r="I193" s="191">
        <f>INPUT!N18</f>
        <v>2800</v>
      </c>
      <c r="J193" s="195">
        <f>IF(INPUT!AB18=0,9/(F193/I193)^2,IF(INPUT!AB18=1,IF(AND(B193&lt;=0,C193&lt;=0),7.2,IF(G193/F193&gt;=0.4,MAX(5.17/(G193/I193)^2,9/(F193/I193)^2),11.64/((F193-G193)/I193)^2)),IF(H193&gt;=-1,247.8*((G193/F193)^1.8)*(1-H193)^2.7,247.8*(1-H193)^0.32)))</f>
        <v>312.09267694395447</v>
      </c>
      <c r="K193" s="131">
        <f>MIN(0.9*INPUT!$B$2*J193/(INPUT!N18/COS(INPUT!P18)/INPUT!O18)^2,J57*INPUT!AO18,INPUT!AQ18/0.7)</f>
        <v>0</v>
      </c>
      <c r="L193" s="131">
        <f>IF(B193&lt;=0,B193,C193)</f>
        <v>-0.691624579055492</v>
      </c>
      <c r="M193" s="203" t="str">
        <f>IF(ABS(L193)&lt;=K193,"OK","NG")</f>
        <v>NG</v>
      </c>
      <c r="N193" s="4"/>
    </row>
    <row r="194">
      <c r="A194" s="187">
        <f>A58</f>
        <v>101</v>
      </c>
      <c r="B194" s="191">
        <f>B58</f>
        <v>0.73050782555113025</v>
      </c>
      <c r="C194" s="191">
        <f>C58</f>
        <v>-0.691624579055492</v>
      </c>
      <c r="D194" s="191">
        <f>INPUT!J19+INPUT!L19+INPUT!N19</f>
        <v>2834</v>
      </c>
      <c r="E194" s="343">
        <f>IF(B194&lt;=0,INPUT!J19,INPUT!L19)</f>
        <v>12</v>
      </c>
      <c r="F194" s="191">
        <f>IF(AND(B194=0,C194=0),I194,IF((ABS(B194)+ABS(C194))=0,0,IF(B194&lt;=0,ABS(B194),ABS(C194))/(ABS(B194)+ABS(C194))*D194-E194))</f>
        <v>1366.2570811931114</v>
      </c>
      <c r="G194" s="191">
        <f>IF(INPUT!AB19=1,0.2,IF(INPUT!AB19=2,0.25,0))*INPUT!N19</f>
        <v>700</v>
      </c>
      <c r="H194" s="192">
        <f>IF(OR(B194=0,C194=0),0,IF(B194&lt;=0,C194/B194,B194/C194))</f>
        <v>-1.0562201628934858</v>
      </c>
      <c r="I194" s="191">
        <f>INPUT!N19</f>
        <v>2800</v>
      </c>
      <c r="J194" s="195">
        <f>IF(INPUT!AB19=0,9/(F194/I194)^2,IF(INPUT!AB19=1,IF(AND(B194&lt;=0,C194&lt;=0),7.2,IF(G194/F194&gt;=0.4,MAX(5.17/(G194/I194)^2,9/(F194/I194)^2),11.64/((F194-G194)/I194)^2)),IF(H194&gt;=-1,247.8*((G194/F194)^1.8)*(1-H194)^2.7,247.8*(1-H194)^0.32)))</f>
        <v>312.09267694395447</v>
      </c>
      <c r="K194" s="131">
        <f>MIN(0.9*INPUT!$B$2*J194/(INPUT!N19/COS(INPUT!P19)/INPUT!O19)^2,J58*INPUT!AO19,INPUT!AQ19/0.7)</f>
        <v>0</v>
      </c>
      <c r="L194" s="131">
        <f>IF(B194&lt;=0,B194,C194)</f>
        <v>-0.691624579055492</v>
      </c>
      <c r="M194" s="203" t="str">
        <f>IF(ABS(L194)&lt;=K194,"OK","NG")</f>
        <v>NG</v>
      </c>
      <c r="N194" s="4"/>
    </row>
    <row r="195">
      <c r="A195" s="187">
        <f>A59</f>
        <v>101</v>
      </c>
      <c r="B195" s="191">
        <f>B59</f>
        <v>0.73050782555113025</v>
      </c>
      <c r="C195" s="191">
        <f>C59</f>
        <v>-0.691624579055492</v>
      </c>
      <c r="D195" s="191">
        <f>INPUT!J20+INPUT!L20+INPUT!N20</f>
        <v>2834</v>
      </c>
      <c r="E195" s="343">
        <f>IF(B195&lt;=0,INPUT!J20,INPUT!L20)</f>
        <v>12</v>
      </c>
      <c r="F195" s="191">
        <f>IF(AND(B195=0,C195=0),I195,IF((ABS(B195)+ABS(C195))=0,0,IF(B195&lt;=0,ABS(B195),ABS(C195))/(ABS(B195)+ABS(C195))*D195-E195))</f>
        <v>1366.2570811931114</v>
      </c>
      <c r="G195" s="191">
        <f>IF(INPUT!AB20=1,0.2,IF(INPUT!AB20=2,0.25,0))*INPUT!N20</f>
        <v>700</v>
      </c>
      <c r="H195" s="192">
        <f>IF(OR(B195=0,C195=0),0,IF(B195&lt;=0,C195/B195,B195/C195))</f>
        <v>-1.0562201628934858</v>
      </c>
      <c r="I195" s="191">
        <f>INPUT!N20</f>
        <v>2800</v>
      </c>
      <c r="J195" s="195">
        <f>IF(INPUT!AB20=0,9/(F195/I195)^2,IF(INPUT!AB20=1,IF(AND(B195&lt;=0,C195&lt;=0),7.2,IF(G195/F195&gt;=0.4,MAX(5.17/(G195/I195)^2,9/(F195/I195)^2),11.64/((F195-G195)/I195)^2)),IF(H195&gt;=-1,247.8*((G195/F195)^1.8)*(1-H195)^2.7,247.8*(1-H195)^0.32)))</f>
        <v>312.09267694395447</v>
      </c>
      <c r="K195" s="131">
        <f>MIN(0.9*INPUT!$B$2*J195/(INPUT!N20/COS(INPUT!P20)/INPUT!O20)^2,J59*INPUT!AO20,INPUT!AQ20/0.7)</f>
        <v>0</v>
      </c>
      <c r="L195" s="131">
        <f>IF(B195&lt;=0,B195,C195)</f>
        <v>-0.691624579055492</v>
      </c>
      <c r="M195" s="203" t="str">
        <f>IF(ABS(L195)&lt;=K195,"OK","NG")</f>
        <v>NG</v>
      </c>
      <c r="N195" s="4"/>
    </row>
    <row r="196">
      <c r="A196" s="187">
        <f>A60</f>
        <v>101</v>
      </c>
      <c r="B196" s="191">
        <f>B60</f>
        <v>0.73050782555113025</v>
      </c>
      <c r="C196" s="191">
        <f>C60</f>
        <v>-0.691624579055492</v>
      </c>
      <c r="D196" s="191">
        <f>INPUT!J21+INPUT!L21+INPUT!N21</f>
        <v>2834</v>
      </c>
      <c r="E196" s="343">
        <f>IF(B196&lt;=0,INPUT!J21,INPUT!L21)</f>
        <v>12</v>
      </c>
      <c r="F196" s="191">
        <f>IF(AND(B196=0,C196=0),I196,IF((ABS(B196)+ABS(C196))=0,0,IF(B196&lt;=0,ABS(B196),ABS(C196))/(ABS(B196)+ABS(C196))*D196-E196))</f>
        <v>1366.2570811931114</v>
      </c>
      <c r="G196" s="191">
        <f>IF(INPUT!AB21=1,0.2,IF(INPUT!AB21=2,0.25,0))*INPUT!N21</f>
        <v>700</v>
      </c>
      <c r="H196" s="192">
        <f>IF(OR(B196=0,C196=0),0,IF(B196&lt;=0,C196/B196,B196/C196))</f>
        <v>-1.0562201628934858</v>
      </c>
      <c r="I196" s="191">
        <f>INPUT!N21</f>
        <v>2800</v>
      </c>
      <c r="J196" s="195">
        <f>IF(INPUT!AB21=0,9/(F196/I196)^2,IF(INPUT!AB21=1,IF(AND(B196&lt;=0,C196&lt;=0),7.2,IF(G196/F196&gt;=0.4,MAX(5.17/(G196/I196)^2,9/(F196/I196)^2),11.64/((F196-G196)/I196)^2)),IF(H196&gt;=-1,247.8*((G196/F196)^1.8)*(1-H196)^2.7,247.8*(1-H196)^0.32)))</f>
        <v>312.09267694395447</v>
      </c>
      <c r="K196" s="131">
        <f>MIN(0.9*INPUT!$B$2*J196/(INPUT!N21/COS(INPUT!P21)/INPUT!O21)^2,J60*INPUT!AO21,INPUT!AQ21/0.7)</f>
        <v>0</v>
      </c>
      <c r="L196" s="131">
        <f>IF(B196&lt;=0,B196,C196)</f>
        <v>-0.691624579055492</v>
      </c>
      <c r="M196" s="203" t="str">
        <f>IF(ABS(L196)&lt;=K196,"OK","NG")</f>
        <v>NG</v>
      </c>
      <c r="N196" s="4"/>
    </row>
    <row r="197">
      <c r="A197" s="187">
        <f>A61</f>
        <v>101</v>
      </c>
      <c r="B197" s="191">
        <f>B61</f>
        <v>0.73050782555113025</v>
      </c>
      <c r="C197" s="191">
        <f>C61</f>
        <v>-0.691624579055492</v>
      </c>
      <c r="D197" s="191">
        <f>INPUT!J22+INPUT!L22+INPUT!N22</f>
        <v>2834</v>
      </c>
      <c r="E197" s="343">
        <f>IF(B197&lt;=0,INPUT!J22,INPUT!L22)</f>
        <v>12</v>
      </c>
      <c r="F197" s="191">
        <f>IF(AND(B197=0,C197=0),I197,IF((ABS(B197)+ABS(C197))=0,0,IF(B197&lt;=0,ABS(B197),ABS(C197))/(ABS(B197)+ABS(C197))*D197-E197))</f>
        <v>1366.2570811931114</v>
      </c>
      <c r="G197" s="191">
        <f>IF(INPUT!AB22=1,0.2,IF(INPUT!AB22=2,0.25,0))*INPUT!N22</f>
        <v>700</v>
      </c>
      <c r="H197" s="192">
        <f>IF(OR(B197=0,C197=0),0,IF(B197&lt;=0,C197/B197,B197/C197))</f>
        <v>-1.0562201628934858</v>
      </c>
      <c r="I197" s="191">
        <f>INPUT!N22</f>
        <v>2800</v>
      </c>
      <c r="J197" s="195">
        <f>IF(INPUT!AB22=0,9/(F197/I197)^2,IF(INPUT!AB22=1,IF(AND(B197&lt;=0,C197&lt;=0),7.2,IF(G197/F197&gt;=0.4,MAX(5.17/(G197/I197)^2,9/(F197/I197)^2),11.64/((F197-G197)/I197)^2)),IF(H197&gt;=-1,247.8*((G197/F197)^1.8)*(1-H197)^2.7,247.8*(1-H197)^0.32)))</f>
        <v>312.09267694395447</v>
      </c>
      <c r="K197" s="131">
        <f>MIN(0.9*INPUT!$B$2*J197/(INPUT!N22/COS(INPUT!P22)/INPUT!O22)^2,J61*INPUT!AO22,INPUT!AQ22/0.7)</f>
        <v>0</v>
      </c>
      <c r="L197" s="131">
        <f>IF(B197&lt;=0,B197,C197)</f>
        <v>-0.691624579055492</v>
      </c>
      <c r="M197" s="203" t="str">
        <f>IF(ABS(L197)&lt;=K197,"OK","NG")</f>
        <v>NG</v>
      </c>
      <c r="N197" s="4"/>
    </row>
    <row r="198">
      <c r="A198" s="187">
        <f>A62</f>
        <v>101</v>
      </c>
      <c r="B198" s="191">
        <f>B62</f>
        <v>0.73050782555113025</v>
      </c>
      <c r="C198" s="191">
        <f>C62</f>
        <v>-0.691624579055492</v>
      </c>
      <c r="D198" s="191">
        <f>INPUT!J23+INPUT!L23+INPUT!N23</f>
        <v>2834</v>
      </c>
      <c r="E198" s="343">
        <f>IF(B198&lt;=0,INPUT!J23,INPUT!L23)</f>
        <v>12</v>
      </c>
      <c r="F198" s="191">
        <f>IF(AND(B198=0,C198=0),I198,IF((ABS(B198)+ABS(C198))=0,0,IF(B198&lt;=0,ABS(B198),ABS(C198))/(ABS(B198)+ABS(C198))*D198-E198))</f>
        <v>1366.2570811931114</v>
      </c>
      <c r="G198" s="191">
        <f>IF(INPUT!AB23=1,0.2,IF(INPUT!AB23=2,0.25,0))*INPUT!N23</f>
        <v>700</v>
      </c>
      <c r="H198" s="192">
        <f>IF(OR(B198=0,C198=0),0,IF(B198&lt;=0,C198/B198,B198/C198))</f>
        <v>-1.0562201628934858</v>
      </c>
      <c r="I198" s="191">
        <f>INPUT!N23</f>
        <v>2800</v>
      </c>
      <c r="J198" s="195">
        <f>IF(INPUT!AB23=0,9/(F198/I198)^2,IF(INPUT!AB23=1,IF(AND(B198&lt;=0,C198&lt;=0),7.2,IF(G198/F198&gt;=0.4,MAX(5.17/(G198/I198)^2,9/(F198/I198)^2),11.64/((F198-G198)/I198)^2)),IF(H198&gt;=-1,247.8*((G198/F198)^1.8)*(1-H198)^2.7,247.8*(1-H198)^0.32)))</f>
        <v>312.09267694395447</v>
      </c>
      <c r="K198" s="131">
        <f>MIN(0.9*INPUT!$B$2*J198/(INPUT!N23/COS(INPUT!P23)/INPUT!O23)^2,J62*INPUT!AO23,INPUT!AQ23/0.7)</f>
        <v>0</v>
      </c>
      <c r="L198" s="131">
        <f>IF(B198&lt;=0,B198,C198)</f>
        <v>-0.691624579055492</v>
      </c>
      <c r="M198" s="203" t="str">
        <f>IF(ABS(L198)&lt;=K198,"OK","NG")</f>
        <v>NG</v>
      </c>
      <c r="N198" s="4"/>
    </row>
    <row r="199">
      <c r="A199" s="187">
        <f>A63</f>
        <v>101</v>
      </c>
      <c r="B199" s="191">
        <f>B63</f>
        <v>0.73050782555113025</v>
      </c>
      <c r="C199" s="191">
        <f>C63</f>
        <v>-0.691624579055492</v>
      </c>
      <c r="D199" s="191">
        <f>INPUT!J24+INPUT!L24+INPUT!N24</f>
        <v>2834</v>
      </c>
      <c r="E199" s="343">
        <f>IF(B199&lt;=0,INPUT!J24,INPUT!L24)</f>
        <v>12</v>
      </c>
      <c r="F199" s="191">
        <f>IF(AND(B199=0,C199=0),I199,IF((ABS(B199)+ABS(C199))=0,0,IF(B199&lt;=0,ABS(B199),ABS(C199))/(ABS(B199)+ABS(C199))*D199-E199))</f>
        <v>1366.2570811931114</v>
      </c>
      <c r="G199" s="191">
        <f>IF(INPUT!AB24=1,0.2,IF(INPUT!AB24=2,0.25,0))*INPUT!N24</f>
        <v>700</v>
      </c>
      <c r="H199" s="192">
        <f>IF(OR(B199=0,C199=0),0,IF(B199&lt;=0,C199/B199,B199/C199))</f>
        <v>-1.0562201628934858</v>
      </c>
      <c r="I199" s="191">
        <f>INPUT!N24</f>
        <v>2800</v>
      </c>
      <c r="J199" s="195">
        <f>IF(INPUT!AB24=0,9/(F199/I199)^2,IF(INPUT!AB24=1,IF(AND(B199&lt;=0,C199&lt;=0),7.2,IF(G199/F199&gt;=0.4,MAX(5.17/(G199/I199)^2,9/(F199/I199)^2),11.64/((F199-G199)/I199)^2)),IF(H199&gt;=-1,247.8*((G199/F199)^1.8)*(1-H199)^2.7,247.8*(1-H199)^0.32)))</f>
        <v>312.09267694395447</v>
      </c>
      <c r="K199" s="131">
        <f>MIN(0.9*INPUT!$B$2*J199/(INPUT!N24/COS(INPUT!P24)/INPUT!O24)^2,J63*INPUT!AO24,INPUT!AQ24/0.7)</f>
        <v>0</v>
      </c>
      <c r="L199" s="131">
        <f>IF(B199&lt;=0,B199,C199)</f>
        <v>-0.691624579055492</v>
      </c>
      <c r="M199" s="203" t="str">
        <f>IF(ABS(L199)&lt;=K199,"OK","NG")</f>
        <v>NG</v>
      </c>
      <c r="N199" s="4"/>
    </row>
    <row r="200">
      <c r="A200" s="187">
        <f>A64</f>
        <v>101</v>
      </c>
      <c r="B200" s="191">
        <f>B64</f>
        <v>0.73050782555113025</v>
      </c>
      <c r="C200" s="191">
        <f>C64</f>
        <v>-0.691624579055492</v>
      </c>
      <c r="D200" s="191">
        <f>INPUT!J25+INPUT!L25+INPUT!N25</f>
        <v>2834</v>
      </c>
      <c r="E200" s="343">
        <f>IF(B200&lt;=0,INPUT!J25,INPUT!L25)</f>
        <v>12</v>
      </c>
      <c r="F200" s="191">
        <f>IF(AND(B200=0,C200=0),I200,IF((ABS(B200)+ABS(C200))=0,0,IF(B200&lt;=0,ABS(B200),ABS(C200))/(ABS(B200)+ABS(C200))*D200-E200))</f>
        <v>1366.2570811931114</v>
      </c>
      <c r="G200" s="191">
        <f>IF(INPUT!AB25=1,0.2,IF(INPUT!AB25=2,0.25,0))*INPUT!N25</f>
        <v>700</v>
      </c>
      <c r="H200" s="192">
        <f>IF(OR(B200=0,C200=0),0,IF(B200&lt;=0,C200/B200,B200/C200))</f>
        <v>-1.0562201628934858</v>
      </c>
      <c r="I200" s="191">
        <f>INPUT!N25</f>
        <v>2800</v>
      </c>
      <c r="J200" s="195">
        <f>IF(INPUT!AB25=0,9/(F200/I200)^2,IF(INPUT!AB25=1,IF(AND(B200&lt;=0,C200&lt;=0),7.2,IF(G200/F200&gt;=0.4,MAX(5.17/(G200/I200)^2,9/(F200/I200)^2),11.64/((F200-G200)/I200)^2)),IF(H200&gt;=-1,247.8*((G200/F200)^1.8)*(1-H200)^2.7,247.8*(1-H200)^0.32)))</f>
        <v>312.09267694395447</v>
      </c>
      <c r="K200" s="131">
        <f>MIN(0.9*INPUT!$B$2*J200/(INPUT!N25/COS(INPUT!P25)/INPUT!O25)^2,J64*INPUT!AO25,INPUT!AQ25/0.7)</f>
        <v>0</v>
      </c>
      <c r="L200" s="131">
        <f>IF(B200&lt;=0,B200,C200)</f>
        <v>-0.691624579055492</v>
      </c>
      <c r="M200" s="203" t="str">
        <f>IF(ABS(L200)&lt;=K200,"OK","NG")</f>
        <v>NG</v>
      </c>
      <c r="N200" s="4"/>
    </row>
    <row r="201">
      <c r="A201" s="187">
        <f>A65</f>
        <v>101</v>
      </c>
      <c r="B201" s="191">
        <f>B65</f>
        <v>0.73050782555113025</v>
      </c>
      <c r="C201" s="191">
        <f>C65</f>
        <v>-0.691624579055492</v>
      </c>
      <c r="D201" s="191">
        <f>INPUT!J26+INPUT!L26+INPUT!N26</f>
        <v>2834</v>
      </c>
      <c r="E201" s="343">
        <f>IF(B201&lt;=0,INPUT!J26,INPUT!L26)</f>
        <v>12</v>
      </c>
      <c r="F201" s="191">
        <f>IF(AND(B201=0,C201=0),I201,IF((ABS(B201)+ABS(C201))=0,0,IF(B201&lt;=0,ABS(B201),ABS(C201))/(ABS(B201)+ABS(C201))*D201-E201))</f>
        <v>1366.2570811931114</v>
      </c>
      <c r="G201" s="191">
        <f>IF(INPUT!AB26=1,0.2,IF(INPUT!AB26=2,0.25,0))*INPUT!N26</f>
        <v>700</v>
      </c>
      <c r="H201" s="192">
        <f>IF(OR(B201=0,C201=0),0,IF(B201&lt;=0,C201/B201,B201/C201))</f>
        <v>-1.0562201628934858</v>
      </c>
      <c r="I201" s="191">
        <f>INPUT!N26</f>
        <v>2800</v>
      </c>
      <c r="J201" s="195">
        <f>IF(INPUT!AB26=0,9/(F201/I201)^2,IF(INPUT!AB26=1,IF(AND(B201&lt;=0,C201&lt;=0),7.2,IF(G201/F201&gt;=0.4,MAX(5.17/(G201/I201)^2,9/(F201/I201)^2),11.64/((F201-G201)/I201)^2)),IF(H201&gt;=-1,247.8*((G201/F201)^1.8)*(1-H201)^2.7,247.8*(1-H201)^0.32)))</f>
        <v>312.09267694395447</v>
      </c>
      <c r="K201" s="131">
        <f>MIN(0.9*INPUT!$B$2*J201/(INPUT!N26/COS(INPUT!P26)/INPUT!O26)^2,J65*INPUT!AO26,INPUT!AQ26/0.7)</f>
        <v>0</v>
      </c>
      <c r="L201" s="131">
        <f>IF(B201&lt;=0,B201,C201)</f>
        <v>-0.691624579055492</v>
      </c>
      <c r="M201" s="203" t="str">
        <f>IF(ABS(L201)&lt;=K201,"OK","NG")</f>
        <v>NG</v>
      </c>
      <c r="N201" s="4"/>
    </row>
    <row r="202">
      <c r="A202" s="187">
        <f>A66</f>
        <v>101</v>
      </c>
      <c r="B202" s="191">
        <f>B66</f>
        <v>0.73050782555113025</v>
      </c>
      <c r="C202" s="191">
        <f>C66</f>
        <v>-0.691624579055492</v>
      </c>
      <c r="D202" s="191">
        <f>INPUT!J27+INPUT!L27+INPUT!N27</f>
        <v>2834</v>
      </c>
      <c r="E202" s="343">
        <f>IF(B202&lt;=0,INPUT!J27,INPUT!L27)</f>
        <v>12</v>
      </c>
      <c r="F202" s="191">
        <f>IF(AND(B202=0,C202=0),I202,IF((ABS(B202)+ABS(C202))=0,0,IF(B202&lt;=0,ABS(B202),ABS(C202))/(ABS(B202)+ABS(C202))*D202-E202))</f>
        <v>1366.2570811931114</v>
      </c>
      <c r="G202" s="191">
        <f>IF(INPUT!AB27=1,0.2,IF(INPUT!AB27=2,0.25,0))*INPUT!N27</f>
        <v>700</v>
      </c>
      <c r="H202" s="192">
        <f>IF(OR(B202=0,C202=0),0,IF(B202&lt;=0,C202/B202,B202/C202))</f>
        <v>-1.0562201628934858</v>
      </c>
      <c r="I202" s="191">
        <f>INPUT!N27</f>
        <v>2800</v>
      </c>
      <c r="J202" s="195">
        <f>IF(INPUT!AB27=0,9/(F202/I202)^2,IF(INPUT!AB27=1,IF(AND(B202&lt;=0,C202&lt;=0),7.2,IF(G202/F202&gt;=0.4,MAX(5.17/(G202/I202)^2,9/(F202/I202)^2),11.64/((F202-G202)/I202)^2)),IF(H202&gt;=-1,247.8*((G202/F202)^1.8)*(1-H202)^2.7,247.8*(1-H202)^0.32)))</f>
        <v>312.09267694395447</v>
      </c>
      <c r="K202" s="131">
        <f>MIN(0.9*INPUT!$B$2*J202/(INPUT!N27/COS(INPUT!P27)/INPUT!O27)^2,J66*INPUT!AO27,INPUT!AQ27/0.7)</f>
        <v>0</v>
      </c>
      <c r="L202" s="131">
        <f>IF(B202&lt;=0,B202,C202)</f>
        <v>-0.691624579055492</v>
      </c>
      <c r="M202" s="203" t="str">
        <f>IF(ABS(L202)&lt;=K202,"OK","NG")</f>
        <v>NG</v>
      </c>
      <c r="N202" s="4"/>
    </row>
    <row r="203">
      <c r="A203" s="187">
        <f>A67</f>
        <v>101</v>
      </c>
      <c r="B203" s="191">
        <f>B67</f>
        <v>0.73050782555113025</v>
      </c>
      <c r="C203" s="191">
        <f>C67</f>
        <v>-0.691624579055492</v>
      </c>
      <c r="D203" s="191">
        <f>INPUT!J28+INPUT!L28+INPUT!N28</f>
        <v>2834</v>
      </c>
      <c r="E203" s="343">
        <f>IF(B203&lt;=0,INPUT!J28,INPUT!L28)</f>
        <v>12</v>
      </c>
      <c r="F203" s="191">
        <f>IF(AND(B203=0,C203=0),I203,IF((ABS(B203)+ABS(C203))=0,0,IF(B203&lt;=0,ABS(B203),ABS(C203))/(ABS(B203)+ABS(C203))*D203-E203))</f>
        <v>1366.2570811931114</v>
      </c>
      <c r="G203" s="191">
        <f>IF(INPUT!AB28=1,0.2,IF(INPUT!AB28=2,0.25,0))*INPUT!N28</f>
        <v>700</v>
      </c>
      <c r="H203" s="192">
        <f>IF(OR(B203=0,C203=0),0,IF(B203&lt;=0,C203/B203,B203/C203))</f>
        <v>-1.0562201628934858</v>
      </c>
      <c r="I203" s="191">
        <f>INPUT!N28</f>
        <v>2800</v>
      </c>
      <c r="J203" s="195">
        <f>IF(INPUT!AB28=0,9/(F203/I203)^2,IF(INPUT!AB28=1,IF(AND(B203&lt;=0,C203&lt;=0),7.2,IF(G203/F203&gt;=0.4,MAX(5.17/(G203/I203)^2,9/(F203/I203)^2),11.64/((F203-G203)/I203)^2)),IF(H203&gt;=-1,247.8*((G203/F203)^1.8)*(1-H203)^2.7,247.8*(1-H203)^0.32)))</f>
        <v>312.09267694395447</v>
      </c>
      <c r="K203" s="131">
        <f>MIN(0.9*INPUT!$B$2*J203/(INPUT!N28/COS(INPUT!P28)/INPUT!O28)^2,J67*INPUT!AO28,INPUT!AQ28/0.7)</f>
        <v>0</v>
      </c>
      <c r="L203" s="131">
        <f>IF(B203&lt;=0,B203,C203)</f>
        <v>-0.691624579055492</v>
      </c>
      <c r="M203" s="203" t="str">
        <f>IF(ABS(L203)&lt;=K203,"OK","NG")</f>
        <v>NG</v>
      </c>
      <c r="N203" s="4"/>
    </row>
    <row r="204">
      <c r="A204" s="187">
        <f>A68</f>
        <v>101</v>
      </c>
      <c r="B204" s="191">
        <f>B68</f>
        <v>0.73050782555113025</v>
      </c>
      <c r="C204" s="191">
        <f>C68</f>
        <v>-0.691624579055492</v>
      </c>
      <c r="D204" s="191">
        <f>INPUT!J29+INPUT!L29+INPUT!N29</f>
        <v>2834</v>
      </c>
      <c r="E204" s="343">
        <f>IF(B204&lt;=0,INPUT!J29,INPUT!L29)</f>
        <v>12</v>
      </c>
      <c r="F204" s="191">
        <f>IF(AND(B204=0,C204=0),I204,IF((ABS(B204)+ABS(C204))=0,0,IF(B204&lt;=0,ABS(B204),ABS(C204))/(ABS(B204)+ABS(C204))*D204-E204))</f>
        <v>1366.2570811931114</v>
      </c>
      <c r="G204" s="191">
        <f>IF(INPUT!AB29=1,0.2,IF(INPUT!AB29=2,0.25,0))*INPUT!N29</f>
        <v>700</v>
      </c>
      <c r="H204" s="192">
        <f>IF(OR(B204=0,C204=0),0,IF(B204&lt;=0,C204/B204,B204/C204))</f>
        <v>-1.0562201628934858</v>
      </c>
      <c r="I204" s="191">
        <f>INPUT!N29</f>
        <v>2800</v>
      </c>
      <c r="J204" s="195">
        <f>IF(INPUT!AB29=0,9/(F204/I204)^2,IF(INPUT!AB29=1,IF(AND(B204&lt;=0,C204&lt;=0),7.2,IF(G204/F204&gt;=0.4,MAX(5.17/(G204/I204)^2,9/(F204/I204)^2),11.64/((F204-G204)/I204)^2)),IF(H204&gt;=-1,247.8*((G204/F204)^1.8)*(1-H204)^2.7,247.8*(1-H204)^0.32)))</f>
        <v>312.09267694395447</v>
      </c>
      <c r="K204" s="131">
        <f>MIN(0.9*INPUT!$B$2*J204/(INPUT!N29/COS(INPUT!P29)/INPUT!O29)^2,J68*INPUT!AO29,INPUT!AQ29/0.7)</f>
        <v>0</v>
      </c>
      <c r="L204" s="131">
        <f>IF(B204&lt;=0,B204,C204)</f>
        <v>-0.691624579055492</v>
      </c>
      <c r="M204" s="203" t="str">
        <f>IF(ABS(L204)&lt;=K204,"OK","NG")</f>
        <v>NG</v>
      </c>
      <c r="N204" s="4"/>
    </row>
    <row r="205">
      <c r="A205" s="187">
        <f>A69</f>
        <v>101</v>
      </c>
      <c r="B205" s="191">
        <f>B69</f>
        <v>0.73050782555113025</v>
      </c>
      <c r="C205" s="191">
        <f>C69</f>
        <v>-0.691624579055492</v>
      </c>
      <c r="D205" s="191">
        <f>INPUT!J30+INPUT!L30+INPUT!N30</f>
        <v>2834</v>
      </c>
      <c r="E205" s="343">
        <f>IF(B205&lt;=0,INPUT!J30,INPUT!L30)</f>
        <v>12</v>
      </c>
      <c r="F205" s="191">
        <f>IF(AND(B205=0,C205=0),I205,IF((ABS(B205)+ABS(C205))=0,0,IF(B205&lt;=0,ABS(B205),ABS(C205))/(ABS(B205)+ABS(C205))*D205-E205))</f>
        <v>1366.2570811931114</v>
      </c>
      <c r="G205" s="191">
        <f>IF(INPUT!AB30=1,0.2,IF(INPUT!AB30=2,0.25,0))*INPUT!N30</f>
        <v>700</v>
      </c>
      <c r="H205" s="192">
        <f>IF(OR(B205=0,C205=0),0,IF(B205&lt;=0,C205/B205,B205/C205))</f>
        <v>-1.0562201628934858</v>
      </c>
      <c r="I205" s="191">
        <f>INPUT!N30</f>
        <v>2800</v>
      </c>
      <c r="J205" s="195">
        <f>IF(INPUT!AB30=0,9/(F205/I205)^2,IF(INPUT!AB30=1,IF(AND(B205&lt;=0,C205&lt;=0),7.2,IF(G205/F205&gt;=0.4,MAX(5.17/(G205/I205)^2,9/(F205/I205)^2),11.64/((F205-G205)/I205)^2)),IF(H205&gt;=-1,247.8*((G205/F205)^1.8)*(1-H205)^2.7,247.8*(1-H205)^0.32)))</f>
        <v>312.09267694395447</v>
      </c>
      <c r="K205" s="131">
        <f>MIN(0.9*INPUT!$B$2*J205/(INPUT!N30/COS(INPUT!P30)/INPUT!O30)^2,J69*INPUT!AO30,INPUT!AQ30/0.7)</f>
        <v>0</v>
      </c>
      <c r="L205" s="131">
        <f>IF(B205&lt;=0,B205,C205)</f>
        <v>-0.691624579055492</v>
      </c>
      <c r="M205" s="203" t="str">
        <f>IF(ABS(L205)&lt;=K205,"OK","NG")</f>
        <v>NG</v>
      </c>
      <c r="N205" s="4"/>
    </row>
    <row r="206">
      <c r="A206" s="187">
        <f>A70</f>
        <v>101</v>
      </c>
      <c r="B206" s="191">
        <f>B70</f>
        <v>0.73050782555113025</v>
      </c>
      <c r="C206" s="191">
        <f>C70</f>
        <v>-0.691624579055492</v>
      </c>
      <c r="D206" s="191">
        <f>INPUT!J31+INPUT!L31+INPUT!N31</f>
        <v>2834</v>
      </c>
      <c r="E206" s="343">
        <f>IF(B206&lt;=0,INPUT!J31,INPUT!L31)</f>
        <v>12</v>
      </c>
      <c r="F206" s="191">
        <f>IF(AND(B206=0,C206=0),I206,IF((ABS(B206)+ABS(C206))=0,0,IF(B206&lt;=0,ABS(B206),ABS(C206))/(ABS(B206)+ABS(C206))*D206-E206))</f>
        <v>1366.2570811931114</v>
      </c>
      <c r="G206" s="191">
        <f>IF(INPUT!AB31=1,0.2,IF(INPUT!AB31=2,0.25,0))*INPUT!N31</f>
        <v>700</v>
      </c>
      <c r="H206" s="192">
        <f>IF(OR(B206=0,C206=0),0,IF(B206&lt;=0,C206/B206,B206/C206))</f>
        <v>-1.0562201628934858</v>
      </c>
      <c r="I206" s="191">
        <f>INPUT!N31</f>
        <v>2800</v>
      </c>
      <c r="J206" s="195">
        <f>IF(INPUT!AB31=0,9/(F206/I206)^2,IF(INPUT!AB31=1,IF(AND(B206&lt;=0,C206&lt;=0),7.2,IF(G206/F206&gt;=0.4,MAX(5.17/(G206/I206)^2,9/(F206/I206)^2),11.64/((F206-G206)/I206)^2)),IF(H206&gt;=-1,247.8*((G206/F206)^1.8)*(1-H206)^2.7,247.8*(1-H206)^0.32)))</f>
        <v>312.09267694395447</v>
      </c>
      <c r="K206" s="131">
        <f>MIN(0.9*INPUT!$B$2*J206/(INPUT!N31/COS(INPUT!P31)/INPUT!O31)^2,J70*INPUT!AO31,INPUT!AQ31/0.7)</f>
        <v>0</v>
      </c>
      <c r="L206" s="131">
        <f>IF(B206&lt;=0,B206,C206)</f>
        <v>-0.691624579055492</v>
      </c>
      <c r="M206" s="203" t="str">
        <f>IF(ABS(L206)&lt;=K206,"OK","NG")</f>
        <v>NG</v>
      </c>
      <c r="N206" s="4"/>
    </row>
    <row r="207">
      <c r="A207" s="187">
        <f>A71</f>
        <v>101</v>
      </c>
      <c r="B207" s="191">
        <f>B71</f>
        <v>0.73050782555113025</v>
      </c>
      <c r="C207" s="191">
        <f>C71</f>
        <v>-0.691624579055492</v>
      </c>
      <c r="D207" s="191">
        <f>INPUT!J32+INPUT!L32+INPUT!N32</f>
        <v>2834</v>
      </c>
      <c r="E207" s="343">
        <f>IF(B207&lt;=0,INPUT!J32,INPUT!L32)</f>
        <v>12</v>
      </c>
      <c r="F207" s="191">
        <f>IF(AND(B207=0,C207=0),I207,IF((ABS(B207)+ABS(C207))=0,0,IF(B207&lt;=0,ABS(B207),ABS(C207))/(ABS(B207)+ABS(C207))*D207-E207))</f>
        <v>1366.2570811931114</v>
      </c>
      <c r="G207" s="191">
        <f>IF(INPUT!AB32=1,0.2,IF(INPUT!AB32=2,0.25,0))*INPUT!N32</f>
        <v>700</v>
      </c>
      <c r="H207" s="192">
        <f>IF(OR(B207=0,C207=0),0,IF(B207&lt;=0,C207/B207,B207/C207))</f>
        <v>-1.0562201628934858</v>
      </c>
      <c r="I207" s="191">
        <f>INPUT!N32</f>
        <v>2800</v>
      </c>
      <c r="J207" s="195">
        <f>IF(INPUT!AB32=0,9/(F207/I207)^2,IF(INPUT!AB32=1,IF(AND(B207&lt;=0,C207&lt;=0),7.2,IF(G207/F207&gt;=0.4,MAX(5.17/(G207/I207)^2,9/(F207/I207)^2),11.64/((F207-G207)/I207)^2)),IF(H207&gt;=-1,247.8*((G207/F207)^1.8)*(1-H207)^2.7,247.8*(1-H207)^0.32)))</f>
        <v>312.09267694395447</v>
      </c>
      <c r="K207" s="131">
        <f>MIN(0.9*INPUT!$B$2*J207/(INPUT!N32/COS(INPUT!P32)/INPUT!O32)^2,J71*INPUT!AO32,INPUT!AQ32/0.7)</f>
        <v>0</v>
      </c>
      <c r="L207" s="131">
        <f>IF(B207&lt;=0,B207,C207)</f>
        <v>-0.691624579055492</v>
      </c>
      <c r="M207" s="203" t="str">
        <f>IF(ABS(L207)&lt;=K207,"OK","NG")</f>
        <v>NG</v>
      </c>
      <c r="N207" s="4"/>
    </row>
    <row r="208">
      <c r="A208" s="187">
        <f>A72</f>
        <v>101</v>
      </c>
      <c r="B208" s="191">
        <f>B72</f>
        <v>0.73050782555113025</v>
      </c>
      <c r="C208" s="191">
        <f>C72</f>
        <v>-0.691624579055492</v>
      </c>
      <c r="D208" s="191">
        <f>INPUT!J33+INPUT!L33+INPUT!N33</f>
        <v>2834</v>
      </c>
      <c r="E208" s="343">
        <f>IF(B208&lt;=0,INPUT!J33,INPUT!L33)</f>
        <v>12</v>
      </c>
      <c r="F208" s="191">
        <f>IF(AND(B208=0,C208=0),I208,IF((ABS(B208)+ABS(C208))=0,0,IF(B208&lt;=0,ABS(B208),ABS(C208))/(ABS(B208)+ABS(C208))*D208-E208))</f>
        <v>1366.2570811931114</v>
      </c>
      <c r="G208" s="191">
        <f>IF(INPUT!AB33=1,0.2,IF(INPUT!AB33=2,0.25,0))*INPUT!N33</f>
        <v>700</v>
      </c>
      <c r="H208" s="192">
        <f>IF(OR(B208=0,C208=0),0,IF(B208&lt;=0,C208/B208,B208/C208))</f>
        <v>-1.0562201628934858</v>
      </c>
      <c r="I208" s="191">
        <f>INPUT!N33</f>
        <v>2800</v>
      </c>
      <c r="J208" s="195">
        <f>IF(INPUT!AB33=0,9/(F208/I208)^2,IF(INPUT!AB33=1,IF(AND(B208&lt;=0,C208&lt;=0),7.2,IF(G208/F208&gt;=0.4,MAX(5.17/(G208/I208)^2,9/(F208/I208)^2),11.64/((F208-G208)/I208)^2)),IF(H208&gt;=-1,247.8*((G208/F208)^1.8)*(1-H208)^2.7,247.8*(1-H208)^0.32)))</f>
        <v>312.09267694395447</v>
      </c>
      <c r="K208" s="131">
        <f>MIN(0.9*INPUT!$B$2*J208/(INPUT!N33/COS(INPUT!P33)/INPUT!O33)^2,J72*INPUT!AO33,INPUT!AQ33/0.7)</f>
        <v>0</v>
      </c>
      <c r="L208" s="131">
        <f>IF(B208&lt;=0,B208,C208)</f>
        <v>-0.691624579055492</v>
      </c>
      <c r="M208" s="203" t="str">
        <f>IF(ABS(L208)&lt;=K208,"OK","NG")</f>
        <v>NG</v>
      </c>
      <c r="N208" s="4"/>
    </row>
    <row r="209">
      <c r="A209" s="187">
        <f>A73</f>
        <v>101</v>
      </c>
      <c r="B209" s="191">
        <f>B73</f>
        <v>0.73050782555113025</v>
      </c>
      <c r="C209" s="191">
        <f>C73</f>
        <v>-0.691624579055492</v>
      </c>
      <c r="D209" s="191">
        <f>INPUT!J34+INPUT!L34+INPUT!N34</f>
        <v>2834</v>
      </c>
      <c r="E209" s="343">
        <f>IF(B209&lt;=0,INPUT!J34,INPUT!L34)</f>
        <v>12</v>
      </c>
      <c r="F209" s="191">
        <f>IF(AND(B209=0,C209=0),I209,IF((ABS(B209)+ABS(C209))=0,0,IF(B209&lt;=0,ABS(B209),ABS(C209))/(ABS(B209)+ABS(C209))*D209-E209))</f>
        <v>1366.2570811931114</v>
      </c>
      <c r="G209" s="191">
        <f>IF(INPUT!AB34=1,0.2,IF(INPUT!AB34=2,0.25,0))*INPUT!N34</f>
        <v>700</v>
      </c>
      <c r="H209" s="192">
        <f>IF(OR(B209=0,C209=0),0,IF(B209&lt;=0,C209/B209,B209/C209))</f>
        <v>-1.0562201628934858</v>
      </c>
      <c r="I209" s="191">
        <f>INPUT!N34</f>
        <v>2800</v>
      </c>
      <c r="J209" s="195">
        <f>IF(INPUT!AB34=0,9/(F209/I209)^2,IF(INPUT!AB34=1,IF(AND(B209&lt;=0,C209&lt;=0),7.2,IF(G209/F209&gt;=0.4,MAX(5.17/(G209/I209)^2,9/(F209/I209)^2),11.64/((F209-G209)/I209)^2)),IF(H209&gt;=-1,247.8*((G209/F209)^1.8)*(1-H209)^2.7,247.8*(1-H209)^0.32)))</f>
        <v>312.09267694395447</v>
      </c>
      <c r="K209" s="131">
        <f>MIN(0.9*INPUT!$B$2*J209/(INPUT!N34/COS(INPUT!P34)/INPUT!O34)^2,J73*INPUT!AO34,INPUT!AQ34/0.7)</f>
        <v>0</v>
      </c>
      <c r="L209" s="131">
        <f>IF(B209&lt;=0,B209,C209)</f>
        <v>-0.691624579055492</v>
      </c>
      <c r="M209" s="203" t="str">
        <f>IF(ABS(L209)&lt;=K209,"OK","NG")</f>
        <v>NG</v>
      </c>
      <c r="N209" s="4"/>
    </row>
    <row r="210">
      <c r="A210" s="187">
        <f>A74</f>
        <v>101</v>
      </c>
      <c r="B210" s="191">
        <f>B74</f>
        <v>0.73050782555113025</v>
      </c>
      <c r="C210" s="191">
        <f>C74</f>
        <v>-0.691624579055492</v>
      </c>
      <c r="D210" s="191">
        <f>INPUT!J35+INPUT!L35+INPUT!N35</f>
        <v>2834</v>
      </c>
      <c r="E210" s="343">
        <f>IF(B210&lt;=0,INPUT!J35,INPUT!L35)</f>
        <v>12</v>
      </c>
      <c r="F210" s="191">
        <f>IF(AND(B210=0,C210=0),I210,IF((ABS(B210)+ABS(C210))=0,0,IF(B210&lt;=0,ABS(B210),ABS(C210))/(ABS(B210)+ABS(C210))*D210-E210))</f>
        <v>1366.2570811931114</v>
      </c>
      <c r="G210" s="191">
        <f>IF(INPUT!AB35=1,0.2,IF(INPUT!AB35=2,0.25,0))*INPUT!N35</f>
        <v>700</v>
      </c>
      <c r="H210" s="192">
        <f>IF(OR(B210=0,C210=0),0,IF(B210&lt;=0,C210/B210,B210/C210))</f>
        <v>-1.0562201628934858</v>
      </c>
      <c r="I210" s="191">
        <f>INPUT!N35</f>
        <v>2800</v>
      </c>
      <c r="J210" s="195">
        <f>IF(INPUT!AB35=0,9/(F210/I210)^2,IF(INPUT!AB35=1,IF(AND(B210&lt;=0,C210&lt;=0),7.2,IF(G210/F210&gt;=0.4,MAX(5.17/(G210/I210)^2,9/(F210/I210)^2),11.64/((F210-G210)/I210)^2)),IF(H210&gt;=-1,247.8*((G210/F210)^1.8)*(1-H210)^2.7,247.8*(1-H210)^0.32)))</f>
        <v>312.09267694395447</v>
      </c>
      <c r="K210" s="131">
        <f>MIN(0.9*INPUT!$B$2*J210/(INPUT!N35/COS(INPUT!P35)/INPUT!O35)^2,J74*INPUT!AO35,INPUT!AQ35/0.7)</f>
        <v>0</v>
      </c>
      <c r="L210" s="131">
        <f>IF(B210&lt;=0,B210,C210)</f>
        <v>-0.691624579055492</v>
      </c>
      <c r="M210" s="203" t="str">
        <f>IF(ABS(L210)&lt;=K210,"OK","NG")</f>
        <v>NG</v>
      </c>
      <c r="N210" s="4"/>
    </row>
    <row r="211">
      <c r="A211" s="187">
        <f>A75</f>
        <v>101</v>
      </c>
      <c r="B211" s="191">
        <f>B75</f>
        <v>0.73050782555113025</v>
      </c>
      <c r="C211" s="191">
        <f>C75</f>
        <v>-0.691624579055492</v>
      </c>
      <c r="D211" s="191">
        <f>INPUT!J36+INPUT!L36+INPUT!N36</f>
        <v>2834</v>
      </c>
      <c r="E211" s="343">
        <f>IF(B211&lt;=0,INPUT!J36,INPUT!L36)</f>
        <v>12</v>
      </c>
      <c r="F211" s="191">
        <f>IF(AND(B211=0,C211=0),I211,IF((ABS(B211)+ABS(C211))=0,0,IF(B211&lt;=0,ABS(B211),ABS(C211))/(ABS(B211)+ABS(C211))*D211-E211))</f>
        <v>1366.2570811931114</v>
      </c>
      <c r="G211" s="191">
        <f>IF(INPUT!AB36=1,0.2,IF(INPUT!AB36=2,0.25,0))*INPUT!N36</f>
        <v>700</v>
      </c>
      <c r="H211" s="192">
        <f>IF(OR(B211=0,C211=0),0,IF(B211&lt;=0,C211/B211,B211/C211))</f>
        <v>-1.0562201628934858</v>
      </c>
      <c r="I211" s="191">
        <f>INPUT!N36</f>
        <v>2800</v>
      </c>
      <c r="J211" s="195">
        <f>IF(INPUT!AB36=0,9/(F211/I211)^2,IF(INPUT!AB36=1,IF(AND(B211&lt;=0,C211&lt;=0),7.2,IF(G211/F211&gt;=0.4,MAX(5.17/(G211/I211)^2,9/(F211/I211)^2),11.64/((F211-G211)/I211)^2)),IF(H211&gt;=-1,247.8*((G211/F211)^1.8)*(1-H211)^2.7,247.8*(1-H211)^0.32)))</f>
        <v>312.09267694395447</v>
      </c>
      <c r="K211" s="131">
        <f>MIN(0.9*INPUT!$B$2*J211/(INPUT!N36/COS(INPUT!P36)/INPUT!O36)^2,J75*INPUT!AO36,INPUT!AQ36/0.7)</f>
        <v>0</v>
      </c>
      <c r="L211" s="131">
        <f>IF(B211&lt;=0,B211,C211)</f>
        <v>-0.691624579055492</v>
      </c>
      <c r="M211" s="203" t="str">
        <f>IF(ABS(L211)&lt;=K211,"OK","NG")</f>
        <v>NG</v>
      </c>
      <c r="N211" s="4"/>
    </row>
    <row r="212">
      <c r="A212" s="187">
        <f>A76</f>
        <v>101</v>
      </c>
      <c r="B212" s="191">
        <f>B76</f>
        <v>0.73050782555113025</v>
      </c>
      <c r="C212" s="191">
        <f>C76</f>
        <v>-0.691624579055492</v>
      </c>
      <c r="D212" s="191">
        <f>INPUT!J37+INPUT!L37+INPUT!N37</f>
        <v>2834</v>
      </c>
      <c r="E212" s="343">
        <f>IF(B212&lt;=0,INPUT!J37,INPUT!L37)</f>
        <v>12</v>
      </c>
      <c r="F212" s="191">
        <f>IF(AND(B212=0,C212=0),I212,IF((ABS(B212)+ABS(C212))=0,0,IF(B212&lt;=0,ABS(B212),ABS(C212))/(ABS(B212)+ABS(C212))*D212-E212))</f>
        <v>1366.2570811931114</v>
      </c>
      <c r="G212" s="191">
        <f>IF(INPUT!AB37=1,0.2,IF(INPUT!AB37=2,0.25,0))*INPUT!N37</f>
        <v>700</v>
      </c>
      <c r="H212" s="192">
        <f>IF(OR(B212=0,C212=0),0,IF(B212&lt;=0,C212/B212,B212/C212))</f>
        <v>-1.0562201628934858</v>
      </c>
      <c r="I212" s="191">
        <f>INPUT!N37</f>
        <v>2800</v>
      </c>
      <c r="J212" s="195">
        <f>IF(INPUT!AB37=0,9/(F212/I212)^2,IF(INPUT!AB37=1,IF(AND(B212&lt;=0,C212&lt;=0),7.2,IF(G212/F212&gt;=0.4,MAX(5.17/(G212/I212)^2,9/(F212/I212)^2),11.64/((F212-G212)/I212)^2)),IF(H212&gt;=-1,247.8*((G212/F212)^1.8)*(1-H212)^2.7,247.8*(1-H212)^0.32)))</f>
        <v>312.09267694395447</v>
      </c>
      <c r="K212" s="131">
        <f>MIN(0.9*INPUT!$B$2*J212/(INPUT!N37/COS(INPUT!P37)/INPUT!O37)^2,J76*INPUT!AO37,INPUT!AQ37/0.7)</f>
        <v>0</v>
      </c>
      <c r="L212" s="131">
        <f>IF(B212&lt;=0,B212,C212)</f>
        <v>-0.691624579055492</v>
      </c>
      <c r="M212" s="203" t="str">
        <f>IF(ABS(L212)&lt;=K212,"OK","NG")</f>
        <v>NG</v>
      </c>
      <c r="N212" s="4"/>
    </row>
    <row r="213">
      <c r="A213" s="187">
        <f>A77</f>
        <v>101</v>
      </c>
      <c r="B213" s="191">
        <f>B77</f>
        <v>0.73050782555113025</v>
      </c>
      <c r="C213" s="191">
        <f>C77</f>
        <v>-0.691624579055492</v>
      </c>
      <c r="D213" s="191">
        <f>INPUT!J38+INPUT!L38+INPUT!N38</f>
        <v>2834</v>
      </c>
      <c r="E213" s="343">
        <f>IF(B213&lt;=0,INPUT!J38,INPUT!L38)</f>
        <v>12</v>
      </c>
      <c r="F213" s="191">
        <f>IF(AND(B213=0,C213=0),I213,IF((ABS(B213)+ABS(C213))=0,0,IF(B213&lt;=0,ABS(B213),ABS(C213))/(ABS(B213)+ABS(C213))*D213-E213))</f>
        <v>1366.2570811931114</v>
      </c>
      <c r="G213" s="191">
        <f>IF(INPUT!AB38=1,0.2,IF(INPUT!AB38=2,0.25,0))*INPUT!N38</f>
        <v>700</v>
      </c>
      <c r="H213" s="192">
        <f>IF(OR(B213=0,C213=0),0,IF(B213&lt;=0,C213/B213,B213/C213))</f>
        <v>-1.0562201628934858</v>
      </c>
      <c r="I213" s="191">
        <f>INPUT!N38</f>
        <v>2800</v>
      </c>
      <c r="J213" s="195">
        <f>IF(INPUT!AB38=0,9/(F213/I213)^2,IF(INPUT!AB38=1,IF(AND(B213&lt;=0,C213&lt;=0),7.2,IF(G213/F213&gt;=0.4,MAX(5.17/(G213/I213)^2,9/(F213/I213)^2),11.64/((F213-G213)/I213)^2)),IF(H213&gt;=-1,247.8*((G213/F213)^1.8)*(1-H213)^2.7,247.8*(1-H213)^0.32)))</f>
        <v>312.09267694395447</v>
      </c>
      <c r="K213" s="131">
        <f>MIN(0.9*INPUT!$B$2*J213/(INPUT!N38/COS(INPUT!P38)/INPUT!O38)^2,J77*INPUT!AO38,INPUT!AQ38/0.7)</f>
        <v>0</v>
      </c>
      <c r="L213" s="131">
        <f>IF(B213&lt;=0,B213,C213)</f>
        <v>-0.691624579055492</v>
      </c>
      <c r="M213" s="203" t="str">
        <f>IF(ABS(L213)&lt;=K213,"OK","NG")</f>
        <v>NG</v>
      </c>
      <c r="N213" s="4"/>
    </row>
    <row r="214">
      <c r="A214" s="187">
        <f>A78</f>
        <v>101</v>
      </c>
      <c r="B214" s="191">
        <f>B78</f>
        <v>0.73050782555113025</v>
      </c>
      <c r="C214" s="191">
        <f>C78</f>
        <v>-0.691624579055492</v>
      </c>
      <c r="D214" s="191">
        <f>INPUT!J39+INPUT!L39+INPUT!N39</f>
        <v>2834</v>
      </c>
      <c r="E214" s="343">
        <f>IF(B214&lt;=0,INPUT!J39,INPUT!L39)</f>
        <v>12</v>
      </c>
      <c r="F214" s="191">
        <f>IF(AND(B214=0,C214=0),I214,IF((ABS(B214)+ABS(C214))=0,0,IF(B214&lt;=0,ABS(B214),ABS(C214))/(ABS(B214)+ABS(C214))*D214-E214))</f>
        <v>1366.2570811931114</v>
      </c>
      <c r="G214" s="191">
        <f>IF(INPUT!AB39=1,0.2,IF(INPUT!AB39=2,0.25,0))*INPUT!N39</f>
        <v>700</v>
      </c>
      <c r="H214" s="192">
        <f>IF(OR(B214=0,C214=0),0,IF(B214&lt;=0,C214/B214,B214/C214))</f>
        <v>-1.0562201628934858</v>
      </c>
      <c r="I214" s="191">
        <f>INPUT!N39</f>
        <v>2800</v>
      </c>
      <c r="J214" s="195">
        <f>IF(INPUT!AB39=0,9/(F214/I214)^2,IF(INPUT!AB39=1,IF(AND(B214&lt;=0,C214&lt;=0),7.2,IF(G214/F214&gt;=0.4,MAX(5.17/(G214/I214)^2,9/(F214/I214)^2),11.64/((F214-G214)/I214)^2)),IF(H214&gt;=-1,247.8*((G214/F214)^1.8)*(1-H214)^2.7,247.8*(1-H214)^0.32)))</f>
        <v>312.09267694395447</v>
      </c>
      <c r="K214" s="131">
        <f>MIN(0.9*INPUT!$B$2*J214/(INPUT!N39/COS(INPUT!P39)/INPUT!O39)^2,J78*INPUT!AO39,INPUT!AQ39/0.7)</f>
        <v>0</v>
      </c>
      <c r="L214" s="131">
        <f>IF(B214&lt;=0,B214,C214)</f>
        <v>-0.691624579055492</v>
      </c>
      <c r="M214" s="203" t="str">
        <f>IF(ABS(L214)&lt;=K214,"OK","NG")</f>
        <v>NG</v>
      </c>
      <c r="N214" s="4"/>
    </row>
    <row r="215">
      <c r="A215" s="187">
        <f>A79</f>
        <v>101</v>
      </c>
      <c r="B215" s="191">
        <f>B79</f>
        <v>0.73050782555113025</v>
      </c>
      <c r="C215" s="191">
        <f>C79</f>
        <v>-0.691624579055492</v>
      </c>
      <c r="D215" s="191">
        <f>INPUT!J40+INPUT!L40+INPUT!N40</f>
        <v>2834</v>
      </c>
      <c r="E215" s="343">
        <f>IF(B215&lt;=0,INPUT!J40,INPUT!L40)</f>
        <v>12</v>
      </c>
      <c r="F215" s="191">
        <f>IF(AND(B215=0,C215=0),I215,IF((ABS(B215)+ABS(C215))=0,0,IF(B215&lt;=0,ABS(B215),ABS(C215))/(ABS(B215)+ABS(C215))*D215-E215))</f>
        <v>1366.2570811931114</v>
      </c>
      <c r="G215" s="191">
        <f>IF(INPUT!AB40=1,0.2,IF(INPUT!AB40=2,0.25,0))*INPUT!N40</f>
        <v>700</v>
      </c>
      <c r="H215" s="192">
        <f>IF(OR(B215=0,C215=0),0,IF(B215&lt;=0,C215/B215,B215/C215))</f>
        <v>-1.0562201628934858</v>
      </c>
      <c r="I215" s="191">
        <f>INPUT!N40</f>
        <v>2800</v>
      </c>
      <c r="J215" s="195">
        <f>IF(INPUT!AB40=0,9/(F215/I215)^2,IF(INPUT!AB40=1,IF(AND(B215&lt;=0,C215&lt;=0),7.2,IF(G215/F215&gt;=0.4,MAX(5.17/(G215/I215)^2,9/(F215/I215)^2),11.64/((F215-G215)/I215)^2)),IF(H215&gt;=-1,247.8*((G215/F215)^1.8)*(1-H215)^2.7,247.8*(1-H215)^0.32)))</f>
        <v>312.09267694395447</v>
      </c>
      <c r="K215" s="131">
        <f>MIN(0.9*INPUT!$B$2*J215/(INPUT!N40/COS(INPUT!P40)/INPUT!O40)^2,J79*INPUT!AO40,INPUT!AQ40/0.7)</f>
        <v>0</v>
      </c>
      <c r="L215" s="131">
        <f>IF(B215&lt;=0,B215,C215)</f>
        <v>-0.691624579055492</v>
      </c>
      <c r="M215" s="203" t="str">
        <f>IF(ABS(L215)&lt;=K215,"OK","NG")</f>
        <v>NG</v>
      </c>
      <c r="N215" s="4"/>
    </row>
    <row r="216">
      <c r="A216" s="187">
        <f>A80</f>
        <v>101</v>
      </c>
      <c r="B216" s="191">
        <f>B80</f>
        <v>0.73050782555113025</v>
      </c>
      <c r="C216" s="191">
        <f>C80</f>
        <v>-0.691624579055492</v>
      </c>
      <c r="D216" s="191">
        <f>INPUT!J41+INPUT!L41+INPUT!N41</f>
        <v>2834</v>
      </c>
      <c r="E216" s="343">
        <f>IF(B216&lt;=0,INPUT!J41,INPUT!L41)</f>
        <v>12</v>
      </c>
      <c r="F216" s="191">
        <f>IF(AND(B216=0,C216=0),I216,IF((ABS(B216)+ABS(C216))=0,0,IF(B216&lt;=0,ABS(B216),ABS(C216))/(ABS(B216)+ABS(C216))*D216-E216))</f>
        <v>1366.2570811931114</v>
      </c>
      <c r="G216" s="191">
        <f>IF(INPUT!AB41=1,0.2,IF(INPUT!AB41=2,0.25,0))*INPUT!N41</f>
        <v>700</v>
      </c>
      <c r="H216" s="192">
        <f>IF(OR(B216=0,C216=0),0,IF(B216&lt;=0,C216/B216,B216/C216))</f>
        <v>-1.0562201628934858</v>
      </c>
      <c r="I216" s="191">
        <f>INPUT!N41</f>
        <v>2800</v>
      </c>
      <c r="J216" s="195">
        <f>IF(INPUT!AB41=0,9/(F216/I216)^2,IF(INPUT!AB41=1,IF(AND(B216&lt;=0,C216&lt;=0),7.2,IF(G216/F216&gt;=0.4,MAX(5.17/(G216/I216)^2,9/(F216/I216)^2),11.64/((F216-G216)/I216)^2)),IF(H216&gt;=-1,247.8*((G216/F216)^1.8)*(1-H216)^2.7,247.8*(1-H216)^0.32)))</f>
        <v>312.09267694395447</v>
      </c>
      <c r="K216" s="131">
        <f>MIN(0.9*INPUT!$B$2*J216/(INPUT!N41/COS(INPUT!P41)/INPUT!O41)^2,J80*INPUT!AO41,INPUT!AQ41/0.7)</f>
        <v>0</v>
      </c>
      <c r="L216" s="131">
        <f>IF(B216&lt;=0,B216,C216)</f>
        <v>-0.691624579055492</v>
      </c>
      <c r="M216" s="203" t="str">
        <f>IF(ABS(L216)&lt;=K216,"OK","NG")</f>
        <v>NG</v>
      </c>
      <c r="N216" s="4"/>
    </row>
    <row r="217">
      <c r="A217" s="187">
        <f>A81</f>
        <v>101</v>
      </c>
      <c r="B217" s="191">
        <f>B81</f>
        <v>0.73050782555113025</v>
      </c>
      <c r="C217" s="191">
        <f>C81</f>
        <v>-0.691624579055492</v>
      </c>
      <c r="D217" s="191">
        <f>INPUT!J42+INPUT!L42+INPUT!N42</f>
        <v>2834</v>
      </c>
      <c r="E217" s="343">
        <f>IF(B217&lt;=0,INPUT!J42,INPUT!L42)</f>
        <v>12</v>
      </c>
      <c r="F217" s="191">
        <f>IF(AND(B217=0,C217=0),I217,IF((ABS(B217)+ABS(C217))=0,0,IF(B217&lt;=0,ABS(B217),ABS(C217))/(ABS(B217)+ABS(C217))*D217-E217))</f>
        <v>1366.2570811931114</v>
      </c>
      <c r="G217" s="191">
        <f>IF(INPUT!AB42=1,0.2,IF(INPUT!AB42=2,0.25,0))*INPUT!N42</f>
        <v>700</v>
      </c>
      <c r="H217" s="192">
        <f>IF(OR(B217=0,C217=0),0,IF(B217&lt;=0,C217/B217,B217/C217))</f>
        <v>-1.0562201628934858</v>
      </c>
      <c r="I217" s="191">
        <f>INPUT!N42</f>
        <v>2800</v>
      </c>
      <c r="J217" s="195">
        <f>IF(INPUT!AB42=0,9/(F217/I217)^2,IF(INPUT!AB42=1,IF(AND(B217&lt;=0,C217&lt;=0),7.2,IF(G217/F217&gt;=0.4,MAX(5.17/(G217/I217)^2,9/(F217/I217)^2),11.64/((F217-G217)/I217)^2)),IF(H217&gt;=-1,247.8*((G217/F217)^1.8)*(1-H217)^2.7,247.8*(1-H217)^0.32)))</f>
        <v>312.09267694395447</v>
      </c>
      <c r="K217" s="131">
        <f>MIN(0.9*INPUT!$B$2*J217/(INPUT!N42/COS(INPUT!P42)/INPUT!O42)^2,J81*INPUT!AO42,INPUT!AQ42/0.7)</f>
        <v>0</v>
      </c>
      <c r="L217" s="131">
        <f>IF(B217&lt;=0,B217,C217)</f>
        <v>-0.691624579055492</v>
      </c>
      <c r="M217" s="203" t="str">
        <f>IF(ABS(L217)&lt;=K217,"OK","NG")</f>
        <v>NG</v>
      </c>
      <c r="N217" s="4"/>
    </row>
    <row r="218">
      <c r="A218" s="187">
        <f>A82</f>
        <v>101</v>
      </c>
      <c r="B218" s="191">
        <f>B82</f>
        <v>0.73050782555113025</v>
      </c>
      <c r="C218" s="191">
        <f>C82</f>
        <v>-0.691624579055492</v>
      </c>
      <c r="D218" s="191">
        <f>INPUT!J43+INPUT!L43+INPUT!N43</f>
        <v>2834</v>
      </c>
      <c r="E218" s="343">
        <f>IF(B218&lt;=0,INPUT!J43,INPUT!L43)</f>
        <v>12</v>
      </c>
      <c r="F218" s="191">
        <f>IF(AND(B218=0,C218=0),I218,IF((ABS(B218)+ABS(C218))=0,0,IF(B218&lt;=0,ABS(B218),ABS(C218))/(ABS(B218)+ABS(C218))*D218-E218))</f>
        <v>1366.2570811931114</v>
      </c>
      <c r="G218" s="191">
        <f>IF(INPUT!AB43=1,0.2,IF(INPUT!AB43=2,0.25,0))*INPUT!N43</f>
        <v>700</v>
      </c>
      <c r="H218" s="192">
        <f>IF(OR(B218=0,C218=0),0,IF(B218&lt;=0,C218/B218,B218/C218))</f>
        <v>-1.0562201628934858</v>
      </c>
      <c r="I218" s="191">
        <f>INPUT!N43</f>
        <v>2800</v>
      </c>
      <c r="J218" s="195">
        <f>IF(INPUT!AB43=0,9/(F218/I218)^2,IF(INPUT!AB43=1,IF(AND(B218&lt;=0,C218&lt;=0),7.2,IF(G218/F218&gt;=0.4,MAX(5.17/(G218/I218)^2,9/(F218/I218)^2),11.64/((F218-G218)/I218)^2)),IF(H218&gt;=-1,247.8*((G218/F218)^1.8)*(1-H218)^2.7,247.8*(1-H218)^0.32)))</f>
        <v>312.09267694395447</v>
      </c>
      <c r="K218" s="131">
        <f>MIN(0.9*INPUT!$B$2*J218/(INPUT!N43/COS(INPUT!P43)/INPUT!O43)^2,J82*INPUT!AO43,INPUT!AQ43/0.7)</f>
        <v>0</v>
      </c>
      <c r="L218" s="131">
        <f>IF(B218&lt;=0,B218,C218)</f>
        <v>-0.691624579055492</v>
      </c>
      <c r="M218" s="203" t="str">
        <f>IF(ABS(L218)&lt;=K218,"OK","NG")</f>
        <v>NG</v>
      </c>
      <c r="N218" s="4"/>
    </row>
    <row r="219">
      <c r="A219" s="187">
        <f>A83</f>
        <v>101</v>
      </c>
      <c r="B219" s="191">
        <f>B83</f>
        <v>0.73050782555113025</v>
      </c>
      <c r="C219" s="191">
        <f>C83</f>
        <v>-0.691624579055492</v>
      </c>
      <c r="D219" s="191">
        <f>INPUT!J44+INPUT!L44+INPUT!N44</f>
        <v>2834</v>
      </c>
      <c r="E219" s="343">
        <f>IF(B219&lt;=0,INPUT!J44,INPUT!L44)</f>
        <v>12</v>
      </c>
      <c r="F219" s="191">
        <f>IF(AND(B219=0,C219=0),I219,IF((ABS(B219)+ABS(C219))=0,0,IF(B219&lt;=0,ABS(B219),ABS(C219))/(ABS(B219)+ABS(C219))*D219-E219))</f>
        <v>1366.2570811931114</v>
      </c>
      <c r="G219" s="191">
        <f>IF(INPUT!AB44=1,0.2,IF(INPUT!AB44=2,0.25,0))*INPUT!N44</f>
        <v>700</v>
      </c>
      <c r="H219" s="192">
        <f>IF(OR(B219=0,C219=0),0,IF(B219&lt;=0,C219/B219,B219/C219))</f>
        <v>-1.0562201628934858</v>
      </c>
      <c r="I219" s="191">
        <f>INPUT!N44</f>
        <v>2800</v>
      </c>
      <c r="J219" s="195">
        <f>IF(INPUT!AB44=0,9/(F219/I219)^2,IF(INPUT!AB44=1,IF(AND(B219&lt;=0,C219&lt;=0),7.2,IF(G219/F219&gt;=0.4,MAX(5.17/(G219/I219)^2,9/(F219/I219)^2),11.64/((F219-G219)/I219)^2)),IF(H219&gt;=-1,247.8*((G219/F219)^1.8)*(1-H219)^2.7,247.8*(1-H219)^0.32)))</f>
        <v>312.09267694395447</v>
      </c>
      <c r="K219" s="131">
        <f>MIN(0.9*INPUT!$B$2*J219/(INPUT!N44/COS(INPUT!P44)/INPUT!O44)^2,J83*INPUT!AO44,INPUT!AQ44/0.7)</f>
        <v>0</v>
      </c>
      <c r="L219" s="131">
        <f>IF(B219&lt;=0,B219,C219)</f>
        <v>-0.691624579055492</v>
      </c>
      <c r="M219" s="203" t="str">
        <f>IF(ABS(L219)&lt;=K219,"OK","NG")</f>
        <v>NG</v>
      </c>
      <c r="N219" s="4"/>
    </row>
    <row r="220">
      <c r="A220" s="187">
        <f>A84</f>
        <v>101</v>
      </c>
      <c r="B220" s="191">
        <f>B84</f>
        <v>0.73050782555113025</v>
      </c>
      <c r="C220" s="191">
        <f>C84</f>
        <v>-0.691624579055492</v>
      </c>
      <c r="D220" s="191">
        <f>INPUT!J45+INPUT!L45+INPUT!N45</f>
        <v>2834</v>
      </c>
      <c r="E220" s="343">
        <f>IF(B220&lt;=0,INPUT!J45,INPUT!L45)</f>
        <v>12</v>
      </c>
      <c r="F220" s="191">
        <f>IF(AND(B220=0,C220=0),I220,IF((ABS(B220)+ABS(C220))=0,0,IF(B220&lt;=0,ABS(B220),ABS(C220))/(ABS(B220)+ABS(C220))*D220-E220))</f>
        <v>1366.2570811931114</v>
      </c>
      <c r="G220" s="191">
        <f>IF(INPUT!AB45=1,0.2,IF(INPUT!AB45=2,0.25,0))*INPUT!N45</f>
        <v>700</v>
      </c>
      <c r="H220" s="192">
        <f>IF(OR(B220=0,C220=0),0,IF(B220&lt;=0,C220/B220,B220/C220))</f>
        <v>-1.0562201628934858</v>
      </c>
      <c r="I220" s="191">
        <f>INPUT!N45</f>
        <v>2800</v>
      </c>
      <c r="J220" s="195">
        <f>IF(INPUT!AB45=0,9/(F220/I220)^2,IF(INPUT!AB45=1,IF(AND(B220&lt;=0,C220&lt;=0),7.2,IF(G220/F220&gt;=0.4,MAX(5.17/(G220/I220)^2,9/(F220/I220)^2),11.64/((F220-G220)/I220)^2)),IF(H220&gt;=-1,247.8*((G220/F220)^1.8)*(1-H220)^2.7,247.8*(1-H220)^0.32)))</f>
        <v>312.09267694395447</v>
      </c>
      <c r="K220" s="131">
        <f>MIN(0.9*INPUT!$B$2*J220/(INPUT!N45/COS(INPUT!P45)/INPUT!O45)^2,J84*INPUT!AO45,INPUT!AQ45/0.7)</f>
        <v>0</v>
      </c>
      <c r="L220" s="131">
        <f>IF(B220&lt;=0,B220,C220)</f>
        <v>-0.691624579055492</v>
      </c>
      <c r="M220" s="203" t="str">
        <f>IF(ABS(L220)&lt;=K220,"OK","NG")</f>
        <v>NG</v>
      </c>
      <c r="N220" s="4"/>
    </row>
    <row r="221">
      <c r="A221" s="187">
        <f>A85</f>
        <v>101</v>
      </c>
      <c r="B221" s="191">
        <f>B85</f>
        <v>0.73050782555113025</v>
      </c>
      <c r="C221" s="191">
        <f>C85</f>
        <v>-0.691624579055492</v>
      </c>
      <c r="D221" s="191">
        <f>INPUT!J46+INPUT!L46+INPUT!N46</f>
        <v>2834</v>
      </c>
      <c r="E221" s="343">
        <f>IF(B221&lt;=0,INPUT!J46,INPUT!L46)</f>
        <v>12</v>
      </c>
      <c r="F221" s="191">
        <f>IF(AND(B221=0,C221=0),I221,IF((ABS(B221)+ABS(C221))=0,0,IF(B221&lt;=0,ABS(B221),ABS(C221))/(ABS(B221)+ABS(C221))*D221-E221))</f>
        <v>1366.2570811931114</v>
      </c>
      <c r="G221" s="191">
        <f>IF(INPUT!AB46=1,0.2,IF(INPUT!AB46=2,0.25,0))*INPUT!N46</f>
        <v>700</v>
      </c>
      <c r="H221" s="192">
        <f>IF(OR(B221=0,C221=0),0,IF(B221&lt;=0,C221/B221,B221/C221))</f>
        <v>-1.0562201628934858</v>
      </c>
      <c r="I221" s="191">
        <f>INPUT!N46</f>
        <v>2800</v>
      </c>
      <c r="J221" s="195">
        <f>IF(INPUT!AB46=0,9/(F221/I221)^2,IF(INPUT!AB46=1,IF(AND(B221&lt;=0,C221&lt;=0),7.2,IF(G221/F221&gt;=0.4,MAX(5.17/(G221/I221)^2,9/(F221/I221)^2),11.64/((F221-G221)/I221)^2)),IF(H221&gt;=-1,247.8*((G221/F221)^1.8)*(1-H221)^2.7,247.8*(1-H221)^0.32)))</f>
        <v>312.09267694395447</v>
      </c>
      <c r="K221" s="131">
        <f>MIN(0.9*INPUT!$B$2*J221/(INPUT!N46/COS(INPUT!P46)/INPUT!O46)^2,J85*INPUT!AO46,INPUT!AQ46/0.7)</f>
        <v>0</v>
      </c>
      <c r="L221" s="131">
        <f>IF(B221&lt;=0,B221,C221)</f>
        <v>-0.691624579055492</v>
      </c>
      <c r="M221" s="203" t="str">
        <f>IF(ABS(L221)&lt;=K221,"OK","NG")</f>
        <v>NG</v>
      </c>
      <c r="N221" s="4"/>
    </row>
    <row r="222">
      <c r="A222" s="187">
        <f>A86</f>
        <v>101</v>
      </c>
      <c r="B222" s="191">
        <f>B86</f>
        <v>0.73050782555113025</v>
      </c>
      <c r="C222" s="191">
        <f>C86</f>
        <v>-0.691624579055492</v>
      </c>
      <c r="D222" s="191">
        <f>INPUT!J47+INPUT!L47+INPUT!N47</f>
        <v>2834</v>
      </c>
      <c r="E222" s="343">
        <f>IF(B222&lt;=0,INPUT!J47,INPUT!L47)</f>
        <v>12</v>
      </c>
      <c r="F222" s="191">
        <f>IF(AND(B222=0,C222=0),I222,IF((ABS(B222)+ABS(C222))=0,0,IF(B222&lt;=0,ABS(B222),ABS(C222))/(ABS(B222)+ABS(C222))*D222-E222))</f>
        <v>1366.2570811931114</v>
      </c>
      <c r="G222" s="191">
        <f>IF(INPUT!AB47=1,0.2,IF(INPUT!AB47=2,0.25,0))*INPUT!N47</f>
        <v>700</v>
      </c>
      <c r="H222" s="192">
        <f>IF(OR(B222=0,C222=0),0,IF(B222&lt;=0,C222/B222,B222/C222))</f>
        <v>-1.0562201628934858</v>
      </c>
      <c r="I222" s="191">
        <f>INPUT!N47</f>
        <v>2800</v>
      </c>
      <c r="J222" s="195">
        <f>IF(INPUT!AB47=0,9/(F222/I222)^2,IF(INPUT!AB47=1,IF(AND(B222&lt;=0,C222&lt;=0),7.2,IF(G222/F222&gt;=0.4,MAX(5.17/(G222/I222)^2,9/(F222/I222)^2),11.64/((F222-G222)/I222)^2)),IF(H222&gt;=-1,247.8*((G222/F222)^1.8)*(1-H222)^2.7,247.8*(1-H222)^0.32)))</f>
        <v>312.09267694395447</v>
      </c>
      <c r="K222" s="131">
        <f>MIN(0.9*INPUT!$B$2*J222/(INPUT!N47/COS(INPUT!P47)/INPUT!O47)^2,J86*INPUT!AO47,INPUT!AQ47/0.7)</f>
        <v>0</v>
      </c>
      <c r="L222" s="131">
        <f>IF(B222&lt;=0,B222,C222)</f>
        <v>-0.691624579055492</v>
      </c>
      <c r="M222" s="203" t="str">
        <f>IF(ABS(L222)&lt;=K222,"OK","NG")</f>
        <v>NG</v>
      </c>
      <c r="N222" s="4"/>
    </row>
    <row r="223">
      <c r="A223" s="187">
        <f>A87</f>
        <v>101</v>
      </c>
      <c r="B223" s="191">
        <f>B87</f>
        <v>0.73050782555113025</v>
      </c>
      <c r="C223" s="191">
        <f>C87</f>
        <v>-0.691624579055492</v>
      </c>
      <c r="D223" s="191">
        <f>INPUT!J48+INPUT!L48+INPUT!N48</f>
        <v>2834</v>
      </c>
      <c r="E223" s="343">
        <f>IF(B223&lt;=0,INPUT!J48,INPUT!L48)</f>
        <v>12</v>
      </c>
      <c r="F223" s="191">
        <f>IF(AND(B223=0,C223=0),I223,IF((ABS(B223)+ABS(C223))=0,0,IF(B223&lt;=0,ABS(B223),ABS(C223))/(ABS(B223)+ABS(C223))*D223-E223))</f>
        <v>1366.2570811931114</v>
      </c>
      <c r="G223" s="191">
        <f>IF(INPUT!AB48=1,0.2,IF(INPUT!AB48=2,0.25,0))*INPUT!N48</f>
        <v>700</v>
      </c>
      <c r="H223" s="192">
        <f>IF(OR(B223=0,C223=0),0,IF(B223&lt;=0,C223/B223,B223/C223))</f>
        <v>-1.0562201628934858</v>
      </c>
      <c r="I223" s="191">
        <f>INPUT!N48</f>
        <v>2800</v>
      </c>
      <c r="J223" s="195">
        <f>IF(INPUT!AB48=0,9/(F223/I223)^2,IF(INPUT!AB48=1,IF(AND(B223&lt;=0,C223&lt;=0),7.2,IF(G223/F223&gt;=0.4,MAX(5.17/(G223/I223)^2,9/(F223/I223)^2),11.64/((F223-G223)/I223)^2)),IF(H223&gt;=-1,247.8*((G223/F223)^1.8)*(1-H223)^2.7,247.8*(1-H223)^0.32)))</f>
        <v>312.09267694395447</v>
      </c>
      <c r="K223" s="131">
        <f>MIN(0.9*INPUT!$B$2*J223/(INPUT!N48/COS(INPUT!P48)/INPUT!O48)^2,J87*INPUT!AO48,INPUT!AQ48/0.7)</f>
        <v>0</v>
      </c>
      <c r="L223" s="131">
        <f>IF(B223&lt;=0,B223,C223)</f>
        <v>-0.691624579055492</v>
      </c>
      <c r="M223" s="203" t="str">
        <f>IF(ABS(L223)&lt;=K223,"OK","NG")</f>
        <v>NG</v>
      </c>
      <c r="N223" s="4"/>
    </row>
    <row r="224">
      <c r="A224" s="187">
        <f>A88</f>
        <v>101</v>
      </c>
      <c r="B224" s="191">
        <f>B88</f>
        <v>0.73050782555113025</v>
      </c>
      <c r="C224" s="191">
        <f>C88</f>
        <v>-0.691624579055492</v>
      </c>
      <c r="D224" s="191">
        <f>INPUT!J49+INPUT!L49+INPUT!N49</f>
        <v>2834</v>
      </c>
      <c r="E224" s="343">
        <f>IF(B224&lt;=0,INPUT!J49,INPUT!L49)</f>
        <v>12</v>
      </c>
      <c r="F224" s="191">
        <f>IF(AND(B224=0,C224=0),I224,IF((ABS(B224)+ABS(C224))=0,0,IF(B224&lt;=0,ABS(B224),ABS(C224))/(ABS(B224)+ABS(C224))*D224-E224))</f>
        <v>1366.2570811931114</v>
      </c>
      <c r="G224" s="191">
        <f>IF(INPUT!AB49=1,0.2,IF(INPUT!AB49=2,0.25,0))*INPUT!N49</f>
        <v>700</v>
      </c>
      <c r="H224" s="192">
        <f>IF(OR(B224=0,C224=0),0,IF(B224&lt;=0,C224/B224,B224/C224))</f>
        <v>-1.0562201628934858</v>
      </c>
      <c r="I224" s="191">
        <f>INPUT!N49</f>
        <v>2800</v>
      </c>
      <c r="J224" s="195">
        <f>IF(INPUT!AB49=0,9/(F224/I224)^2,IF(INPUT!AB49=1,IF(AND(B224&lt;=0,C224&lt;=0),7.2,IF(G224/F224&gt;=0.4,MAX(5.17/(G224/I224)^2,9/(F224/I224)^2),11.64/((F224-G224)/I224)^2)),IF(H224&gt;=-1,247.8*((G224/F224)^1.8)*(1-H224)^2.7,247.8*(1-H224)^0.32)))</f>
        <v>312.09267694395447</v>
      </c>
      <c r="K224" s="131">
        <f>MIN(0.9*INPUT!$B$2*J224/(INPUT!N49/COS(INPUT!P49)/INPUT!O49)^2,J88*INPUT!AO49,INPUT!AQ49/0.7)</f>
        <v>0</v>
      </c>
      <c r="L224" s="131">
        <f>IF(B224&lt;=0,B224,C224)</f>
        <v>-0.691624579055492</v>
      </c>
      <c r="M224" s="203" t="str">
        <f>IF(ABS(L224)&lt;=K224,"OK","NG")</f>
        <v>NG</v>
      </c>
      <c r="N224" s="4"/>
    </row>
    <row r="225">
      <c r="A225" s="187">
        <f>A89</f>
        <v>101</v>
      </c>
      <c r="B225" s="191">
        <f>B89</f>
        <v>0.73050782555113025</v>
      </c>
      <c r="C225" s="191">
        <f>C89</f>
        <v>-0.691624579055492</v>
      </c>
      <c r="D225" s="191">
        <f>INPUT!J50+INPUT!L50+INPUT!N50</f>
        <v>2834</v>
      </c>
      <c r="E225" s="343">
        <f>IF(B225&lt;=0,INPUT!J50,INPUT!L50)</f>
        <v>12</v>
      </c>
      <c r="F225" s="191">
        <f>IF(AND(B225=0,C225=0),I225,IF((ABS(B225)+ABS(C225))=0,0,IF(B225&lt;=0,ABS(B225),ABS(C225))/(ABS(B225)+ABS(C225))*D225-E225))</f>
        <v>1366.2570811931114</v>
      </c>
      <c r="G225" s="191">
        <f>IF(INPUT!AB50=1,0.2,IF(INPUT!AB50=2,0.25,0))*INPUT!N50</f>
        <v>700</v>
      </c>
      <c r="H225" s="192">
        <f>IF(OR(B225=0,C225=0),0,IF(B225&lt;=0,C225/B225,B225/C225))</f>
        <v>-1.0562201628934858</v>
      </c>
      <c r="I225" s="191">
        <f>INPUT!N50</f>
        <v>2800</v>
      </c>
      <c r="J225" s="195">
        <f>IF(INPUT!AB50=0,9/(F225/I225)^2,IF(INPUT!AB50=1,IF(AND(B225&lt;=0,C225&lt;=0),7.2,IF(G225/F225&gt;=0.4,MAX(5.17/(G225/I225)^2,9/(F225/I225)^2),11.64/((F225-G225)/I225)^2)),IF(H225&gt;=-1,247.8*((G225/F225)^1.8)*(1-H225)^2.7,247.8*(1-H225)^0.32)))</f>
        <v>312.09267694395447</v>
      </c>
      <c r="K225" s="131">
        <f>MIN(0.9*INPUT!$B$2*J225/(INPUT!N50/COS(INPUT!P50)/INPUT!O50)^2,J89*INPUT!AO50,INPUT!AQ50/0.7)</f>
        <v>0</v>
      </c>
      <c r="L225" s="131">
        <f>IF(B225&lt;=0,B225,C225)</f>
        <v>-0.691624579055492</v>
      </c>
      <c r="M225" s="203" t="str">
        <f>IF(ABS(L225)&lt;=K225,"OK","NG")</f>
        <v>NG</v>
      </c>
      <c r="N225" s="4"/>
    </row>
    <row r="226">
      <c r="A226" s="187">
        <f>A90</f>
        <v>101</v>
      </c>
      <c r="B226" s="191">
        <f>B90</f>
        <v>0.73050782555113025</v>
      </c>
      <c r="C226" s="191">
        <f>C90</f>
        <v>-0.691624579055492</v>
      </c>
      <c r="D226" s="191">
        <f>INPUT!J51+INPUT!L51+INPUT!N51</f>
        <v>2834</v>
      </c>
      <c r="E226" s="343">
        <f>IF(B226&lt;=0,INPUT!J51,INPUT!L51)</f>
        <v>12</v>
      </c>
      <c r="F226" s="191">
        <f>IF(AND(B226=0,C226=0),I226,IF((ABS(B226)+ABS(C226))=0,0,IF(B226&lt;=0,ABS(B226),ABS(C226))/(ABS(B226)+ABS(C226))*D226-E226))</f>
        <v>1366.2570811931114</v>
      </c>
      <c r="G226" s="191">
        <f>IF(INPUT!AB51=1,0.2,IF(INPUT!AB51=2,0.25,0))*INPUT!N51</f>
        <v>700</v>
      </c>
      <c r="H226" s="192">
        <f>IF(OR(B226=0,C226=0),0,IF(B226&lt;=0,C226/B226,B226/C226))</f>
        <v>-1.0562201628934858</v>
      </c>
      <c r="I226" s="191">
        <f>INPUT!N51</f>
        <v>2800</v>
      </c>
      <c r="J226" s="195">
        <f>IF(INPUT!AB51=0,9/(F226/I226)^2,IF(INPUT!AB51=1,IF(AND(B226&lt;=0,C226&lt;=0),7.2,IF(G226/F226&gt;=0.4,MAX(5.17/(G226/I226)^2,9/(F226/I226)^2),11.64/((F226-G226)/I226)^2)),IF(H226&gt;=-1,247.8*((G226/F226)^1.8)*(1-H226)^2.7,247.8*(1-H226)^0.32)))</f>
        <v>312.09267694395447</v>
      </c>
      <c r="K226" s="131">
        <f>MIN(0.9*INPUT!$B$2*J226/(INPUT!N51/COS(INPUT!P51)/INPUT!O51)^2,J90*INPUT!AO51,INPUT!AQ51/0.7)</f>
        <v>0</v>
      </c>
      <c r="L226" s="131">
        <f>IF(B226&lt;=0,B226,C226)</f>
        <v>-0.691624579055492</v>
      </c>
      <c r="M226" s="203" t="str">
        <f>IF(ABS(L226)&lt;=K226,"OK","NG")</f>
        <v>NG</v>
      </c>
      <c r="N226" s="4"/>
    </row>
    <row r="227">
      <c r="A227" s="187">
        <f>A91</f>
        <v>101</v>
      </c>
      <c r="B227" s="191">
        <f>B91</f>
        <v>0.73050782555113025</v>
      </c>
      <c r="C227" s="191">
        <f>C91</f>
        <v>-0.691624579055492</v>
      </c>
      <c r="D227" s="191">
        <f>INPUT!J52+INPUT!L52+INPUT!N52</f>
        <v>2834</v>
      </c>
      <c r="E227" s="343">
        <f>IF(B227&lt;=0,INPUT!J52,INPUT!L52)</f>
        <v>12</v>
      </c>
      <c r="F227" s="191">
        <f>IF(AND(B227=0,C227=0),I227,IF((ABS(B227)+ABS(C227))=0,0,IF(B227&lt;=0,ABS(B227),ABS(C227))/(ABS(B227)+ABS(C227))*D227-E227))</f>
        <v>1366.2570811931114</v>
      </c>
      <c r="G227" s="191">
        <f>IF(INPUT!AB52=1,0.2,IF(INPUT!AB52=2,0.25,0))*INPUT!N52</f>
        <v>700</v>
      </c>
      <c r="H227" s="192">
        <f>IF(OR(B227=0,C227=0),0,IF(B227&lt;=0,C227/B227,B227/C227))</f>
        <v>-1.0562201628934858</v>
      </c>
      <c r="I227" s="191">
        <f>INPUT!N52</f>
        <v>2800</v>
      </c>
      <c r="J227" s="195">
        <f>IF(INPUT!AB52=0,9/(F227/I227)^2,IF(INPUT!AB52=1,IF(AND(B227&lt;=0,C227&lt;=0),7.2,IF(G227/F227&gt;=0.4,MAX(5.17/(G227/I227)^2,9/(F227/I227)^2),11.64/((F227-G227)/I227)^2)),IF(H227&gt;=-1,247.8*((G227/F227)^1.8)*(1-H227)^2.7,247.8*(1-H227)^0.32)))</f>
        <v>312.09267694395447</v>
      </c>
      <c r="K227" s="131">
        <f>MIN(0.9*INPUT!$B$2*J227/(INPUT!N52/COS(INPUT!P52)/INPUT!O52)^2,J91*INPUT!AO52,INPUT!AQ52/0.7)</f>
        <v>0</v>
      </c>
      <c r="L227" s="131">
        <f>IF(B227&lt;=0,B227,C227)</f>
        <v>-0.691624579055492</v>
      </c>
      <c r="M227" s="203" t="str">
        <f>IF(ABS(L227)&lt;=K227,"OK","NG")</f>
        <v>NG</v>
      </c>
      <c r="N227" s="4"/>
    </row>
    <row r="228">
      <c r="A228" s="187">
        <f>A92</f>
        <v>101</v>
      </c>
      <c r="B228" s="191">
        <f>B92</f>
        <v>0.73050782555113025</v>
      </c>
      <c r="C228" s="191">
        <f>C92</f>
        <v>-0.691624579055492</v>
      </c>
      <c r="D228" s="191">
        <f>INPUT!J53+INPUT!L53+INPUT!N53</f>
        <v>2834</v>
      </c>
      <c r="E228" s="343">
        <f>IF(B228&lt;=0,INPUT!J53,INPUT!L53)</f>
        <v>12</v>
      </c>
      <c r="F228" s="191">
        <f>IF(AND(B228=0,C228=0),I228,IF((ABS(B228)+ABS(C228))=0,0,IF(B228&lt;=0,ABS(B228),ABS(C228))/(ABS(B228)+ABS(C228))*D228-E228))</f>
        <v>1366.2570811931114</v>
      </c>
      <c r="G228" s="191">
        <f>IF(INPUT!AB53=1,0.2,IF(INPUT!AB53=2,0.25,0))*INPUT!N53</f>
        <v>700</v>
      </c>
      <c r="H228" s="192">
        <f>IF(OR(B228=0,C228=0),0,IF(B228&lt;=0,C228/B228,B228/C228))</f>
        <v>-1.0562201628934858</v>
      </c>
      <c r="I228" s="191">
        <f>INPUT!N53</f>
        <v>2800</v>
      </c>
      <c r="J228" s="195">
        <f>IF(INPUT!AB53=0,9/(F228/I228)^2,IF(INPUT!AB53=1,IF(AND(B228&lt;=0,C228&lt;=0),7.2,IF(G228/F228&gt;=0.4,MAX(5.17/(G228/I228)^2,9/(F228/I228)^2),11.64/((F228-G228)/I228)^2)),IF(H228&gt;=-1,247.8*((G228/F228)^1.8)*(1-H228)^2.7,247.8*(1-H228)^0.32)))</f>
        <v>312.09267694395447</v>
      </c>
      <c r="K228" s="131">
        <f>MIN(0.9*INPUT!$B$2*J228/(INPUT!N53/COS(INPUT!P53)/INPUT!O53)^2,J92*INPUT!AO53,INPUT!AQ53/0.7)</f>
        <v>0</v>
      </c>
      <c r="L228" s="131">
        <f>IF(B228&lt;=0,B228,C228)</f>
        <v>-0.691624579055492</v>
      </c>
      <c r="M228" s="203" t="str">
        <f>IF(ABS(L228)&lt;=K228,"OK","NG")</f>
        <v>NG</v>
      </c>
      <c r="N228" s="4"/>
    </row>
    <row r="229">
      <c r="A229" s="187">
        <f>A93</f>
        <v>101</v>
      </c>
      <c r="B229" s="191">
        <f>B93</f>
        <v>0.73050782555113025</v>
      </c>
      <c r="C229" s="191">
        <f>C93</f>
        <v>-0.691624579055492</v>
      </c>
      <c r="D229" s="191">
        <f>INPUT!J54+INPUT!L54+INPUT!N54</f>
        <v>2834</v>
      </c>
      <c r="E229" s="343">
        <f>IF(B229&lt;=0,INPUT!J54,INPUT!L54)</f>
        <v>12</v>
      </c>
      <c r="F229" s="191">
        <f>IF(AND(B229=0,C229=0),I229,IF((ABS(B229)+ABS(C229))=0,0,IF(B229&lt;=0,ABS(B229),ABS(C229))/(ABS(B229)+ABS(C229))*D229-E229))</f>
        <v>1366.2570811931114</v>
      </c>
      <c r="G229" s="191">
        <f>IF(INPUT!AB54=1,0.2,IF(INPUT!AB54=2,0.25,0))*INPUT!N54</f>
        <v>700</v>
      </c>
      <c r="H229" s="192">
        <f>IF(OR(B229=0,C229=0),0,IF(B229&lt;=0,C229/B229,B229/C229))</f>
        <v>-1.0562201628934858</v>
      </c>
      <c r="I229" s="191">
        <f>INPUT!N54</f>
        <v>2800</v>
      </c>
      <c r="J229" s="195">
        <f>IF(INPUT!AB54=0,9/(F229/I229)^2,IF(INPUT!AB54=1,IF(AND(B229&lt;=0,C229&lt;=0),7.2,IF(G229/F229&gt;=0.4,MAX(5.17/(G229/I229)^2,9/(F229/I229)^2),11.64/((F229-G229)/I229)^2)),IF(H229&gt;=-1,247.8*((G229/F229)^1.8)*(1-H229)^2.7,247.8*(1-H229)^0.32)))</f>
        <v>312.09267694395447</v>
      </c>
      <c r="K229" s="131">
        <f>MIN(0.9*INPUT!$B$2*J229/(INPUT!N54/COS(INPUT!P54)/INPUT!O54)^2,J93*INPUT!AO54,INPUT!AQ54/0.7)</f>
        <v>0</v>
      </c>
      <c r="L229" s="131">
        <f>IF(B229&lt;=0,B229,C229)</f>
        <v>-0.691624579055492</v>
      </c>
      <c r="M229" s="203" t="str">
        <f>IF(ABS(L229)&lt;=K229,"OK","NG")</f>
        <v>NG</v>
      </c>
      <c r="N229" s="4"/>
    </row>
    <row r="230">
      <c r="A230" s="187">
        <f>A94</f>
        <v>101</v>
      </c>
      <c r="B230" s="191">
        <f>B94</f>
        <v>0.73050782555113025</v>
      </c>
      <c r="C230" s="191">
        <f>C94</f>
        <v>-0.691624579055492</v>
      </c>
      <c r="D230" s="191">
        <f>INPUT!J55+INPUT!L55+INPUT!N55</f>
        <v>2834</v>
      </c>
      <c r="E230" s="343">
        <f>IF(B230&lt;=0,INPUT!J55,INPUT!L55)</f>
        <v>12</v>
      </c>
      <c r="F230" s="191">
        <f>IF(AND(B230=0,C230=0),I230,IF((ABS(B230)+ABS(C230))=0,0,IF(B230&lt;=0,ABS(B230),ABS(C230))/(ABS(B230)+ABS(C230))*D230-E230))</f>
        <v>1366.2570811931114</v>
      </c>
      <c r="G230" s="191">
        <f>IF(INPUT!AB55=1,0.2,IF(INPUT!AB55=2,0.25,0))*INPUT!N55</f>
        <v>700</v>
      </c>
      <c r="H230" s="192">
        <f>IF(OR(B230=0,C230=0),0,IF(B230&lt;=0,C230/B230,B230/C230))</f>
        <v>-1.0562201628934858</v>
      </c>
      <c r="I230" s="191">
        <f>INPUT!N55</f>
        <v>2800</v>
      </c>
      <c r="J230" s="195">
        <f>IF(INPUT!AB55=0,9/(F230/I230)^2,IF(INPUT!AB55=1,IF(AND(B230&lt;=0,C230&lt;=0),7.2,IF(G230/F230&gt;=0.4,MAX(5.17/(G230/I230)^2,9/(F230/I230)^2),11.64/((F230-G230)/I230)^2)),IF(H230&gt;=-1,247.8*((G230/F230)^1.8)*(1-H230)^2.7,247.8*(1-H230)^0.32)))</f>
        <v>312.09267694395447</v>
      </c>
      <c r="K230" s="131">
        <f>MIN(0.9*INPUT!$B$2*J230/(INPUT!N55/COS(INPUT!P55)/INPUT!O55)^2,J94*INPUT!AO55,INPUT!AQ55/0.7)</f>
        <v>0</v>
      </c>
      <c r="L230" s="131">
        <f>IF(B230&lt;=0,B230,C230)</f>
        <v>-0.691624579055492</v>
      </c>
      <c r="M230" s="203" t="str">
        <f>IF(ABS(L230)&lt;=K230,"OK","NG")</f>
        <v>NG</v>
      </c>
      <c r="N230" s="4"/>
    </row>
    <row r="231">
      <c r="A231" s="187">
        <f>A95</f>
        <v>101</v>
      </c>
      <c r="B231" s="191">
        <f>B95</f>
        <v>0.73050782555113025</v>
      </c>
      <c r="C231" s="191">
        <f>C95</f>
        <v>-0.691624579055492</v>
      </c>
      <c r="D231" s="191">
        <f>INPUT!J56+INPUT!L56+INPUT!N56</f>
        <v>2834</v>
      </c>
      <c r="E231" s="343">
        <f>IF(B231&lt;=0,INPUT!J56,INPUT!L56)</f>
        <v>12</v>
      </c>
      <c r="F231" s="191">
        <f>IF(AND(B231=0,C231=0),I231,IF((ABS(B231)+ABS(C231))=0,0,IF(B231&lt;=0,ABS(B231),ABS(C231))/(ABS(B231)+ABS(C231))*D231-E231))</f>
        <v>1366.2570811931114</v>
      </c>
      <c r="G231" s="191">
        <f>IF(INPUT!AB56=1,0.2,IF(INPUT!AB56=2,0.25,0))*INPUT!N56</f>
        <v>700</v>
      </c>
      <c r="H231" s="192">
        <f>IF(OR(B231=0,C231=0),0,IF(B231&lt;=0,C231/B231,B231/C231))</f>
        <v>-1.0562201628934858</v>
      </c>
      <c r="I231" s="191">
        <f>INPUT!N56</f>
        <v>2800</v>
      </c>
      <c r="J231" s="195">
        <f>IF(INPUT!AB56=0,9/(F231/I231)^2,IF(INPUT!AB56=1,IF(AND(B231&lt;=0,C231&lt;=0),7.2,IF(G231/F231&gt;=0.4,MAX(5.17/(G231/I231)^2,9/(F231/I231)^2),11.64/((F231-G231)/I231)^2)),IF(H231&gt;=-1,247.8*((G231/F231)^1.8)*(1-H231)^2.7,247.8*(1-H231)^0.32)))</f>
        <v>312.09267694395447</v>
      </c>
      <c r="K231" s="131">
        <f>MIN(0.9*INPUT!$B$2*J231/(INPUT!N56/COS(INPUT!P56)/INPUT!O56)^2,J95*INPUT!AO56,INPUT!AQ56/0.7)</f>
        <v>0</v>
      </c>
      <c r="L231" s="131">
        <f>IF(B231&lt;=0,B231,C231)</f>
        <v>-0.691624579055492</v>
      </c>
      <c r="M231" s="203" t="str">
        <f>IF(ABS(L231)&lt;=K231,"OK","NG")</f>
        <v>NG</v>
      </c>
      <c r="N231" s="4"/>
    </row>
    <row r="232">
      <c r="A232" s="187">
        <f>A96</f>
        <v>101</v>
      </c>
      <c r="B232" s="191">
        <f>B96</f>
        <v>0.73050782555113025</v>
      </c>
      <c r="C232" s="191">
        <f>C96</f>
        <v>-0.691624579055492</v>
      </c>
      <c r="D232" s="191">
        <f>INPUT!J57+INPUT!L57+INPUT!N57</f>
        <v>2834</v>
      </c>
      <c r="E232" s="343">
        <f>IF(B232&lt;=0,INPUT!J57,INPUT!L57)</f>
        <v>12</v>
      </c>
      <c r="F232" s="191">
        <f>IF(AND(B232=0,C232=0),I232,IF((ABS(B232)+ABS(C232))=0,0,IF(B232&lt;=0,ABS(B232),ABS(C232))/(ABS(B232)+ABS(C232))*D232-E232))</f>
        <v>1366.2570811931114</v>
      </c>
      <c r="G232" s="191">
        <f>IF(INPUT!AB57=1,0.2,IF(INPUT!AB57=2,0.25,0))*INPUT!N57</f>
        <v>700</v>
      </c>
      <c r="H232" s="192">
        <f>IF(OR(B232=0,C232=0),0,IF(B232&lt;=0,C232/B232,B232/C232))</f>
        <v>-1.0562201628934858</v>
      </c>
      <c r="I232" s="191">
        <f>INPUT!N57</f>
        <v>2800</v>
      </c>
      <c r="J232" s="195">
        <f>IF(INPUT!AB57=0,9/(F232/I232)^2,IF(INPUT!AB57=1,IF(AND(B232&lt;=0,C232&lt;=0),7.2,IF(G232/F232&gt;=0.4,MAX(5.17/(G232/I232)^2,9/(F232/I232)^2),11.64/((F232-G232)/I232)^2)),IF(H232&gt;=-1,247.8*((G232/F232)^1.8)*(1-H232)^2.7,247.8*(1-H232)^0.32)))</f>
        <v>312.09267694395447</v>
      </c>
      <c r="K232" s="131">
        <f>MIN(0.9*INPUT!$B$2*J232/(INPUT!N57/COS(INPUT!P57)/INPUT!O57)^2,J96*INPUT!AO57,INPUT!AQ57/0.7)</f>
        <v>0</v>
      </c>
      <c r="L232" s="131">
        <f>IF(B232&lt;=0,B232,C232)</f>
        <v>-0.691624579055492</v>
      </c>
      <c r="M232" s="203" t="str">
        <f>IF(ABS(L232)&lt;=K232,"OK","NG")</f>
        <v>NG</v>
      </c>
      <c r="N232" s="4"/>
    </row>
    <row r="233">
      <c r="A233" s="187">
        <f>A97</f>
        <v>101</v>
      </c>
      <c r="B233" s="191">
        <f>B97</f>
        <v>0.73050782555113025</v>
      </c>
      <c r="C233" s="191">
        <f>C97</f>
        <v>-0.691624579055492</v>
      </c>
      <c r="D233" s="191">
        <f>INPUT!J58+INPUT!L58+INPUT!N58</f>
        <v>2834</v>
      </c>
      <c r="E233" s="343">
        <f>IF(B233&lt;=0,INPUT!J58,INPUT!L58)</f>
        <v>12</v>
      </c>
      <c r="F233" s="191">
        <f>IF(AND(B233=0,C233=0),I233,IF((ABS(B233)+ABS(C233))=0,0,IF(B233&lt;=0,ABS(B233),ABS(C233))/(ABS(B233)+ABS(C233))*D233-E233))</f>
        <v>1366.2570811931114</v>
      </c>
      <c r="G233" s="191">
        <f>IF(INPUT!AB58=1,0.2,IF(INPUT!AB58=2,0.25,0))*INPUT!N58</f>
        <v>700</v>
      </c>
      <c r="H233" s="192">
        <f>IF(OR(B233=0,C233=0),0,IF(B233&lt;=0,C233/B233,B233/C233))</f>
        <v>-1.0562201628934858</v>
      </c>
      <c r="I233" s="191">
        <f>INPUT!N58</f>
        <v>2800</v>
      </c>
      <c r="J233" s="195">
        <f>IF(INPUT!AB58=0,9/(F233/I233)^2,IF(INPUT!AB58=1,IF(AND(B233&lt;=0,C233&lt;=0),7.2,IF(G233/F233&gt;=0.4,MAX(5.17/(G233/I233)^2,9/(F233/I233)^2),11.64/((F233-G233)/I233)^2)),IF(H233&gt;=-1,247.8*((G233/F233)^1.8)*(1-H233)^2.7,247.8*(1-H233)^0.32)))</f>
        <v>312.09267694395447</v>
      </c>
      <c r="K233" s="131">
        <f>MIN(0.9*INPUT!$B$2*J233/(INPUT!N58/COS(INPUT!P58)/INPUT!O58)^2,J97*INPUT!AO58,INPUT!AQ58/0.7)</f>
        <v>0</v>
      </c>
      <c r="L233" s="131">
        <f>IF(B233&lt;=0,B233,C233)</f>
        <v>-0.691624579055492</v>
      </c>
      <c r="M233" s="203" t="str">
        <f>IF(ABS(L233)&lt;=K233,"OK","NG")</f>
        <v>NG</v>
      </c>
      <c r="N233" s="4"/>
    </row>
    <row r="234">
      <c r="A234" s="187">
        <f>A98</f>
        <v>101</v>
      </c>
      <c r="B234" s="191">
        <f>B98</f>
        <v>0.73050782555113025</v>
      </c>
      <c r="C234" s="191">
        <f>C98</f>
        <v>-0.691624579055492</v>
      </c>
      <c r="D234" s="191">
        <f>INPUT!J59+INPUT!L59+INPUT!N59</f>
        <v>2834</v>
      </c>
      <c r="E234" s="343">
        <f>IF(B234&lt;=0,INPUT!J59,INPUT!L59)</f>
        <v>12</v>
      </c>
      <c r="F234" s="191">
        <f>IF(AND(B234=0,C234=0),I234,IF((ABS(B234)+ABS(C234))=0,0,IF(B234&lt;=0,ABS(B234),ABS(C234))/(ABS(B234)+ABS(C234))*D234-E234))</f>
        <v>1366.2570811931114</v>
      </c>
      <c r="G234" s="191">
        <f>IF(INPUT!AB59=1,0.2,IF(INPUT!AB59=2,0.25,0))*INPUT!N59</f>
        <v>700</v>
      </c>
      <c r="H234" s="192">
        <f>IF(OR(B234=0,C234=0),0,IF(B234&lt;=0,C234/B234,B234/C234))</f>
        <v>-1.0562201628934858</v>
      </c>
      <c r="I234" s="191">
        <f>INPUT!N59</f>
        <v>2800</v>
      </c>
      <c r="J234" s="195">
        <f>IF(INPUT!AB59=0,9/(F234/I234)^2,IF(INPUT!AB59=1,IF(AND(B234&lt;=0,C234&lt;=0),7.2,IF(G234/F234&gt;=0.4,MAX(5.17/(G234/I234)^2,9/(F234/I234)^2),11.64/((F234-G234)/I234)^2)),IF(H234&gt;=-1,247.8*((G234/F234)^1.8)*(1-H234)^2.7,247.8*(1-H234)^0.32)))</f>
        <v>312.09267694395447</v>
      </c>
      <c r="K234" s="131">
        <f>MIN(0.9*INPUT!$B$2*J234/(INPUT!N59/COS(INPUT!P59)/INPUT!O59)^2,J98*INPUT!AO59,INPUT!AQ59/0.7)</f>
        <v>0</v>
      </c>
      <c r="L234" s="131">
        <f>IF(B234&lt;=0,B234,C234)</f>
        <v>-0.691624579055492</v>
      </c>
      <c r="M234" s="203" t="str">
        <f>IF(ABS(L234)&lt;=K234,"OK","NG")</f>
        <v>NG</v>
      </c>
      <c r="N234" s="4"/>
    </row>
    <row r="235">
      <c r="A235" s="187">
        <f>A99</f>
        <v>101</v>
      </c>
      <c r="B235" s="191">
        <f>B99</f>
        <v>0.73050782555113025</v>
      </c>
      <c r="C235" s="191">
        <f>C99</f>
        <v>-0.691624579055492</v>
      </c>
      <c r="D235" s="191">
        <f>INPUT!J60+INPUT!L60+INPUT!N60</f>
        <v>2834</v>
      </c>
      <c r="E235" s="343">
        <f>IF(B235&lt;=0,INPUT!J60,INPUT!L60)</f>
        <v>12</v>
      </c>
      <c r="F235" s="191">
        <f>IF(AND(B235=0,C235=0),I235,IF((ABS(B235)+ABS(C235))=0,0,IF(B235&lt;=0,ABS(B235),ABS(C235))/(ABS(B235)+ABS(C235))*D235-E235))</f>
        <v>1366.2570811931114</v>
      </c>
      <c r="G235" s="191">
        <f>IF(INPUT!AB60=1,0.2,IF(INPUT!AB60=2,0.25,0))*INPUT!N60</f>
        <v>700</v>
      </c>
      <c r="H235" s="192">
        <f>IF(OR(B235=0,C235=0),0,IF(B235&lt;=0,C235/B235,B235/C235))</f>
        <v>-1.0562201628934858</v>
      </c>
      <c r="I235" s="191">
        <f>INPUT!N60</f>
        <v>2800</v>
      </c>
      <c r="J235" s="195">
        <f>IF(INPUT!AB60=0,9/(F235/I235)^2,IF(INPUT!AB60=1,IF(AND(B235&lt;=0,C235&lt;=0),7.2,IF(G235/F235&gt;=0.4,MAX(5.17/(G235/I235)^2,9/(F235/I235)^2),11.64/((F235-G235)/I235)^2)),IF(H235&gt;=-1,247.8*((G235/F235)^1.8)*(1-H235)^2.7,247.8*(1-H235)^0.32)))</f>
        <v>312.09267694395447</v>
      </c>
      <c r="K235" s="131">
        <f>MIN(0.9*INPUT!$B$2*J235/(INPUT!N60/COS(INPUT!P60)/INPUT!O60)^2,J99*INPUT!AO60,INPUT!AQ60/0.7)</f>
        <v>0</v>
      </c>
      <c r="L235" s="131">
        <f>IF(B235&lt;=0,B235,C235)</f>
        <v>-0.691624579055492</v>
      </c>
      <c r="M235" s="203" t="str">
        <f>IF(ABS(L235)&lt;=K235,"OK","NG")</f>
        <v>NG</v>
      </c>
      <c r="N235" s="4"/>
    </row>
    <row r="236">
      <c r="A236" s="187">
        <f>A100</f>
        <v>101</v>
      </c>
      <c r="B236" s="191">
        <f>B100</f>
        <v>0.73050782555113025</v>
      </c>
      <c r="C236" s="191">
        <f>C100</f>
        <v>-0.691624579055492</v>
      </c>
      <c r="D236" s="191">
        <f>INPUT!J61+INPUT!L61+INPUT!N61</f>
        <v>2834</v>
      </c>
      <c r="E236" s="343">
        <f>IF(B236&lt;=0,INPUT!J61,INPUT!L61)</f>
        <v>12</v>
      </c>
      <c r="F236" s="191">
        <f>IF(AND(B236=0,C236=0),I236,IF((ABS(B236)+ABS(C236))=0,0,IF(B236&lt;=0,ABS(B236),ABS(C236))/(ABS(B236)+ABS(C236))*D236-E236))</f>
        <v>1366.2570811931114</v>
      </c>
      <c r="G236" s="191">
        <f>IF(INPUT!AB61=1,0.2,IF(INPUT!AB61=2,0.25,0))*INPUT!N61</f>
        <v>700</v>
      </c>
      <c r="H236" s="192">
        <f>IF(OR(B236=0,C236=0),0,IF(B236&lt;=0,C236/B236,B236/C236))</f>
        <v>-1.0562201628934858</v>
      </c>
      <c r="I236" s="191">
        <f>INPUT!N61</f>
        <v>2800</v>
      </c>
      <c r="J236" s="195">
        <f>IF(INPUT!AB61=0,9/(F236/I236)^2,IF(INPUT!AB61=1,IF(AND(B236&lt;=0,C236&lt;=0),7.2,IF(G236/F236&gt;=0.4,MAX(5.17/(G236/I236)^2,9/(F236/I236)^2),11.64/((F236-G236)/I236)^2)),IF(H236&gt;=-1,247.8*((G236/F236)^1.8)*(1-H236)^2.7,247.8*(1-H236)^0.32)))</f>
        <v>312.09267694395447</v>
      </c>
      <c r="K236" s="131">
        <f>MIN(0.9*INPUT!$B$2*J236/(INPUT!N61/COS(INPUT!P61)/INPUT!O61)^2,J100*INPUT!AO61,INPUT!AQ61/0.7)</f>
        <v>0</v>
      </c>
      <c r="L236" s="131">
        <f>IF(B236&lt;=0,B236,C236)</f>
        <v>-0.691624579055492</v>
      </c>
      <c r="M236" s="203" t="str">
        <f>IF(ABS(L236)&lt;=K236,"OK","NG")</f>
        <v>NG</v>
      </c>
      <c r="N236" s="4"/>
    </row>
    <row r="237">
      <c r="A237" s="187">
        <f>A101</f>
        <v>101</v>
      </c>
      <c r="B237" s="191">
        <f>B101</f>
        <v>0.73050782555113025</v>
      </c>
      <c r="C237" s="191">
        <f>C101</f>
        <v>-0.691624579055492</v>
      </c>
      <c r="D237" s="191">
        <f>INPUT!J62+INPUT!L62+INPUT!N62</f>
        <v>2834</v>
      </c>
      <c r="E237" s="343">
        <f>IF(B237&lt;=0,INPUT!J62,INPUT!L62)</f>
        <v>12</v>
      </c>
      <c r="F237" s="191">
        <f>IF(AND(B237=0,C237=0),I237,IF((ABS(B237)+ABS(C237))=0,0,IF(B237&lt;=0,ABS(B237),ABS(C237))/(ABS(B237)+ABS(C237))*D237-E237))</f>
        <v>1366.2570811931114</v>
      </c>
      <c r="G237" s="191">
        <f>IF(INPUT!AB62=1,0.2,IF(INPUT!AB62=2,0.25,0))*INPUT!N62</f>
        <v>700</v>
      </c>
      <c r="H237" s="192">
        <f>IF(OR(B237=0,C237=0),0,IF(B237&lt;=0,C237/B237,B237/C237))</f>
        <v>-1.0562201628934858</v>
      </c>
      <c r="I237" s="191">
        <f>INPUT!N62</f>
        <v>2800</v>
      </c>
      <c r="J237" s="195">
        <f>IF(INPUT!AB62=0,9/(F237/I237)^2,IF(INPUT!AB62=1,IF(AND(B237&lt;=0,C237&lt;=0),7.2,IF(G237/F237&gt;=0.4,MAX(5.17/(G237/I237)^2,9/(F237/I237)^2),11.64/((F237-G237)/I237)^2)),IF(H237&gt;=-1,247.8*((G237/F237)^1.8)*(1-H237)^2.7,247.8*(1-H237)^0.32)))</f>
        <v>312.09267694395447</v>
      </c>
      <c r="K237" s="131">
        <f>MIN(0.9*INPUT!$B$2*J237/(INPUT!N62/COS(INPUT!P62)/INPUT!O62)^2,J101*INPUT!AO62,INPUT!AQ62/0.7)</f>
        <v>0</v>
      </c>
      <c r="L237" s="131">
        <f>IF(B237&lt;=0,B237,C237)</f>
        <v>-0.691624579055492</v>
      </c>
      <c r="M237" s="203" t="str">
        <f>IF(ABS(L237)&lt;=K237,"OK","NG")</f>
        <v>NG</v>
      </c>
      <c r="N237" s="4"/>
    </row>
    <row r="238">
      <c r="A238" s="187">
        <f>A102</f>
        <v>101</v>
      </c>
      <c r="B238" s="191">
        <f>B102</f>
        <v>0.73050782555113025</v>
      </c>
      <c r="C238" s="191">
        <f>C102</f>
        <v>-0.691624579055492</v>
      </c>
      <c r="D238" s="191">
        <f>INPUT!J63+INPUT!L63+INPUT!N63</f>
        <v>2834</v>
      </c>
      <c r="E238" s="343">
        <f>IF(B238&lt;=0,INPUT!J63,INPUT!L63)</f>
        <v>12</v>
      </c>
      <c r="F238" s="191">
        <f>IF(AND(B238=0,C238=0),I238,IF((ABS(B238)+ABS(C238))=0,0,IF(B238&lt;=0,ABS(B238),ABS(C238))/(ABS(B238)+ABS(C238))*D238-E238))</f>
        <v>1366.2570811931114</v>
      </c>
      <c r="G238" s="191">
        <f>IF(INPUT!AB63=1,0.2,IF(INPUT!AB63=2,0.25,0))*INPUT!N63</f>
        <v>700</v>
      </c>
      <c r="H238" s="192">
        <f>IF(OR(B238=0,C238=0),0,IF(B238&lt;=0,C238/B238,B238/C238))</f>
        <v>-1.0562201628934858</v>
      </c>
      <c r="I238" s="191">
        <f>INPUT!N63</f>
        <v>2800</v>
      </c>
      <c r="J238" s="195">
        <f>IF(INPUT!AB63=0,9/(F238/I238)^2,IF(INPUT!AB63=1,IF(AND(B238&lt;=0,C238&lt;=0),7.2,IF(G238/F238&gt;=0.4,MAX(5.17/(G238/I238)^2,9/(F238/I238)^2),11.64/((F238-G238)/I238)^2)),IF(H238&gt;=-1,247.8*((G238/F238)^1.8)*(1-H238)^2.7,247.8*(1-H238)^0.32)))</f>
        <v>312.09267694395447</v>
      </c>
      <c r="K238" s="131">
        <f>MIN(0.9*INPUT!$B$2*J238/(INPUT!N63/COS(INPUT!P63)/INPUT!O63)^2,J102*INPUT!AO63,INPUT!AQ63/0.7)</f>
        <v>0</v>
      </c>
      <c r="L238" s="131">
        <f>IF(B238&lt;=0,B238,C238)</f>
        <v>-0.691624579055492</v>
      </c>
      <c r="M238" s="203" t="str">
        <f>IF(ABS(L238)&lt;=K238,"OK","NG")</f>
        <v>NG</v>
      </c>
      <c r="N238" s="4"/>
    </row>
    <row r="239">
      <c r="A239" s="187">
        <f>A103</f>
        <v>101</v>
      </c>
      <c r="B239" s="191">
        <f>B103</f>
        <v>0.73050782555113025</v>
      </c>
      <c r="C239" s="191">
        <f>C103</f>
        <v>-0.691624579055492</v>
      </c>
      <c r="D239" s="191">
        <f>INPUT!J64+INPUT!L64+INPUT!N64</f>
        <v>2834</v>
      </c>
      <c r="E239" s="343">
        <f>IF(B239&lt;=0,INPUT!J64,INPUT!L64)</f>
        <v>12</v>
      </c>
      <c r="F239" s="191">
        <f>IF(AND(B239=0,C239=0),I239,IF((ABS(B239)+ABS(C239))=0,0,IF(B239&lt;=0,ABS(B239),ABS(C239))/(ABS(B239)+ABS(C239))*D239-E239))</f>
        <v>1366.2570811931114</v>
      </c>
      <c r="G239" s="191">
        <f>IF(INPUT!AB64=1,0.2,IF(INPUT!AB64=2,0.25,0))*INPUT!N64</f>
        <v>700</v>
      </c>
      <c r="H239" s="192">
        <f>IF(OR(B239=0,C239=0),0,IF(B239&lt;=0,C239/B239,B239/C239))</f>
        <v>-1.0562201628934858</v>
      </c>
      <c r="I239" s="191">
        <f>INPUT!N64</f>
        <v>2800</v>
      </c>
      <c r="J239" s="195">
        <f>IF(INPUT!AB64=0,9/(F239/I239)^2,IF(INPUT!AB64=1,IF(AND(B239&lt;=0,C239&lt;=0),7.2,IF(G239/F239&gt;=0.4,MAX(5.17/(G239/I239)^2,9/(F239/I239)^2),11.64/((F239-G239)/I239)^2)),IF(H239&gt;=-1,247.8*((G239/F239)^1.8)*(1-H239)^2.7,247.8*(1-H239)^0.32)))</f>
        <v>312.09267694395447</v>
      </c>
      <c r="K239" s="131">
        <f>MIN(0.9*INPUT!$B$2*J239/(INPUT!N64/COS(INPUT!P64)/INPUT!O64)^2,J103*INPUT!AO64,INPUT!AQ64/0.7)</f>
        <v>0</v>
      </c>
      <c r="L239" s="131">
        <f>IF(B239&lt;=0,B239,C239)</f>
        <v>-0.691624579055492</v>
      </c>
      <c r="M239" s="203" t="str">
        <f>IF(ABS(L239)&lt;=K239,"OK","NG")</f>
        <v>NG</v>
      </c>
      <c r="N239" s="4"/>
    </row>
    <row r="240">
      <c r="A240" s="187">
        <f>A104</f>
        <v>101</v>
      </c>
      <c r="B240" s="191">
        <f>B104</f>
        <v>0.73050782555113025</v>
      </c>
      <c r="C240" s="191">
        <f>C104</f>
        <v>-0.691624579055492</v>
      </c>
      <c r="D240" s="191">
        <f>INPUT!J65+INPUT!L65+INPUT!N65</f>
        <v>2834</v>
      </c>
      <c r="E240" s="343">
        <f>IF(B240&lt;=0,INPUT!J65,INPUT!L65)</f>
        <v>12</v>
      </c>
      <c r="F240" s="191">
        <f>IF(AND(B240=0,C240=0),I240,IF((ABS(B240)+ABS(C240))=0,0,IF(B240&lt;=0,ABS(B240),ABS(C240))/(ABS(B240)+ABS(C240))*D240-E240))</f>
        <v>1366.2570811931114</v>
      </c>
      <c r="G240" s="191">
        <f>IF(INPUT!AB65=1,0.2,IF(INPUT!AB65=2,0.25,0))*INPUT!N65</f>
        <v>700</v>
      </c>
      <c r="H240" s="192">
        <f>IF(OR(B240=0,C240=0),0,IF(B240&lt;=0,C240/B240,B240/C240))</f>
        <v>-1.0562201628934858</v>
      </c>
      <c r="I240" s="191">
        <f>INPUT!N65</f>
        <v>2800</v>
      </c>
      <c r="J240" s="195">
        <f>IF(INPUT!AB65=0,9/(F240/I240)^2,IF(INPUT!AB65=1,IF(AND(B240&lt;=0,C240&lt;=0),7.2,IF(G240/F240&gt;=0.4,MAX(5.17/(G240/I240)^2,9/(F240/I240)^2),11.64/((F240-G240)/I240)^2)),IF(H240&gt;=-1,247.8*((G240/F240)^1.8)*(1-H240)^2.7,247.8*(1-H240)^0.32)))</f>
        <v>312.09267694395447</v>
      </c>
      <c r="K240" s="131">
        <f>MIN(0.9*INPUT!$B$2*J240/(INPUT!N65/COS(INPUT!P65)/INPUT!O65)^2,J104*INPUT!AO65,INPUT!AQ65/0.7)</f>
        <v>0</v>
      </c>
      <c r="L240" s="131">
        <f>IF(B240&lt;=0,B240,C240)</f>
        <v>-0.691624579055492</v>
      </c>
      <c r="M240" s="203" t="str">
        <f>IF(ABS(L240)&lt;=K240,"OK","NG")</f>
        <v>NG</v>
      </c>
      <c r="N240" s="4"/>
    </row>
    <row r="241">
      <c r="A241" s="187">
        <f>A105</f>
        <v>101</v>
      </c>
      <c r="B241" s="191">
        <f>B105</f>
        <v>0.73050782555113025</v>
      </c>
      <c r="C241" s="191">
        <f>C105</f>
        <v>-0.691624579055492</v>
      </c>
      <c r="D241" s="191">
        <f>INPUT!J66+INPUT!L66+INPUT!N66</f>
        <v>2834</v>
      </c>
      <c r="E241" s="343">
        <f>IF(B241&lt;=0,INPUT!J66,INPUT!L66)</f>
        <v>12</v>
      </c>
      <c r="F241" s="191">
        <f>IF(AND(B241=0,C241=0),I241,IF((ABS(B241)+ABS(C241))=0,0,IF(B241&lt;=0,ABS(B241),ABS(C241))/(ABS(B241)+ABS(C241))*D241-E241))</f>
        <v>1366.2570811931114</v>
      </c>
      <c r="G241" s="191">
        <f>IF(INPUT!AB66=1,0.2,IF(INPUT!AB66=2,0.25,0))*INPUT!N66</f>
        <v>700</v>
      </c>
      <c r="H241" s="192">
        <f>IF(OR(B241=0,C241=0),0,IF(B241&lt;=0,C241/B241,B241/C241))</f>
        <v>-1.0562201628934858</v>
      </c>
      <c r="I241" s="191">
        <f>INPUT!N66</f>
        <v>2800</v>
      </c>
      <c r="J241" s="195">
        <f>IF(INPUT!AB66=0,9/(F241/I241)^2,IF(INPUT!AB66=1,IF(AND(B241&lt;=0,C241&lt;=0),7.2,IF(G241/F241&gt;=0.4,MAX(5.17/(G241/I241)^2,9/(F241/I241)^2),11.64/((F241-G241)/I241)^2)),IF(H241&gt;=-1,247.8*((G241/F241)^1.8)*(1-H241)^2.7,247.8*(1-H241)^0.32)))</f>
        <v>312.09267694395447</v>
      </c>
      <c r="K241" s="131">
        <f>MIN(0.9*INPUT!$B$2*J241/(INPUT!N66/COS(INPUT!P66)/INPUT!O66)^2,J105*INPUT!AO66,INPUT!AQ66/0.7)</f>
        <v>0</v>
      </c>
      <c r="L241" s="131">
        <f>IF(B241&lt;=0,B241,C241)</f>
        <v>-0.691624579055492</v>
      </c>
      <c r="M241" s="203" t="str">
        <f>IF(ABS(L241)&lt;=K241,"OK","NG")</f>
        <v>NG</v>
      </c>
      <c r="N241" s="4"/>
    </row>
    <row r="242">
      <c r="A242" s="187">
        <f>A106</f>
        <v>101</v>
      </c>
      <c r="B242" s="191">
        <f>B106</f>
        <v>0.73050782555113025</v>
      </c>
      <c r="C242" s="191">
        <f>C106</f>
        <v>-0.691624579055492</v>
      </c>
      <c r="D242" s="191">
        <f>INPUT!J67+INPUT!L67+INPUT!N67</f>
        <v>2834</v>
      </c>
      <c r="E242" s="343">
        <f>IF(B242&lt;=0,INPUT!J67,INPUT!L67)</f>
        <v>12</v>
      </c>
      <c r="F242" s="191">
        <f>IF(AND(B242=0,C242=0),I242,IF((ABS(B242)+ABS(C242))=0,0,IF(B242&lt;=0,ABS(B242),ABS(C242))/(ABS(B242)+ABS(C242))*D242-E242))</f>
        <v>1366.2570811931114</v>
      </c>
      <c r="G242" s="191">
        <f>IF(INPUT!AB67=1,0.2,IF(INPUT!AB67=2,0.25,0))*INPUT!N67</f>
        <v>700</v>
      </c>
      <c r="H242" s="192">
        <f>IF(OR(B242=0,C242=0),0,IF(B242&lt;=0,C242/B242,B242/C242))</f>
        <v>-1.0562201628934858</v>
      </c>
      <c r="I242" s="191">
        <f>INPUT!N67</f>
        <v>2800</v>
      </c>
      <c r="J242" s="195">
        <f>IF(INPUT!AB67=0,9/(F242/I242)^2,IF(INPUT!AB67=1,IF(AND(B242&lt;=0,C242&lt;=0),7.2,IF(G242/F242&gt;=0.4,MAX(5.17/(G242/I242)^2,9/(F242/I242)^2),11.64/((F242-G242)/I242)^2)),IF(H242&gt;=-1,247.8*((G242/F242)^1.8)*(1-H242)^2.7,247.8*(1-H242)^0.32)))</f>
        <v>312.09267694395447</v>
      </c>
      <c r="K242" s="131">
        <f>MIN(0.9*INPUT!$B$2*J242/(INPUT!N67/COS(INPUT!P67)/INPUT!O67)^2,J106*INPUT!AO67,INPUT!AQ67/0.7)</f>
        <v>0</v>
      </c>
      <c r="L242" s="131">
        <f>IF(B242&lt;=0,B242,C242)</f>
        <v>-0.691624579055492</v>
      </c>
      <c r="M242" s="203" t="str">
        <f>IF(ABS(L242)&lt;=K242,"OK","NG")</f>
        <v>NG</v>
      </c>
      <c r="N242" s="4"/>
    </row>
    <row r="243">
      <c r="A243" s="187">
        <f>A107</f>
        <v>101</v>
      </c>
      <c r="B243" s="191">
        <f>B107</f>
        <v>0.73050782555113025</v>
      </c>
      <c r="C243" s="191">
        <f>C107</f>
        <v>-0.691624579055492</v>
      </c>
      <c r="D243" s="191">
        <f>INPUT!J68+INPUT!L68+INPUT!N68</f>
        <v>2834</v>
      </c>
      <c r="E243" s="343">
        <f>IF(B243&lt;=0,INPUT!J68,INPUT!L68)</f>
        <v>12</v>
      </c>
      <c r="F243" s="191">
        <f>IF(AND(B243=0,C243=0),I243,IF((ABS(B243)+ABS(C243))=0,0,IF(B243&lt;=0,ABS(B243),ABS(C243))/(ABS(B243)+ABS(C243))*D243-E243))</f>
        <v>1366.2570811931114</v>
      </c>
      <c r="G243" s="191">
        <f>IF(INPUT!AB68=1,0.2,IF(INPUT!AB68=2,0.25,0))*INPUT!N68</f>
        <v>700</v>
      </c>
      <c r="H243" s="192">
        <f>IF(OR(B243=0,C243=0),0,IF(B243&lt;=0,C243/B243,B243/C243))</f>
        <v>-1.0562201628934858</v>
      </c>
      <c r="I243" s="191">
        <f>INPUT!N68</f>
        <v>2800</v>
      </c>
      <c r="J243" s="195">
        <f>IF(INPUT!AB68=0,9/(F243/I243)^2,IF(INPUT!AB68=1,IF(AND(B243&lt;=0,C243&lt;=0),7.2,IF(G243/F243&gt;=0.4,MAX(5.17/(G243/I243)^2,9/(F243/I243)^2),11.64/((F243-G243)/I243)^2)),IF(H243&gt;=-1,247.8*((G243/F243)^1.8)*(1-H243)^2.7,247.8*(1-H243)^0.32)))</f>
        <v>312.09267694395447</v>
      </c>
      <c r="K243" s="131">
        <f>MIN(0.9*INPUT!$B$2*J243/(INPUT!N68/COS(INPUT!P68)/INPUT!O68)^2,J107*INPUT!AO68,INPUT!AQ68/0.7)</f>
        <v>0</v>
      </c>
      <c r="L243" s="131">
        <f>IF(B243&lt;=0,B243,C243)</f>
        <v>-0.691624579055492</v>
      </c>
      <c r="M243" s="203" t="str">
        <f>IF(ABS(L243)&lt;=K243,"OK","NG")</f>
        <v>NG</v>
      </c>
      <c r="N243" s="4"/>
    </row>
    <row r="244">
      <c r="A244" s="187">
        <f>A108</f>
        <v>101</v>
      </c>
      <c r="B244" s="191">
        <f>B108</f>
        <v>0.73050782555113025</v>
      </c>
      <c r="C244" s="191">
        <f>C108</f>
        <v>-0.691624579055492</v>
      </c>
      <c r="D244" s="191">
        <f>INPUT!J69+INPUT!L69+INPUT!N69</f>
        <v>2834</v>
      </c>
      <c r="E244" s="343">
        <f>IF(B244&lt;=0,INPUT!J69,INPUT!L69)</f>
        <v>12</v>
      </c>
      <c r="F244" s="191">
        <f>IF(AND(B244=0,C244=0),I244,IF((ABS(B244)+ABS(C244))=0,0,IF(B244&lt;=0,ABS(B244),ABS(C244))/(ABS(B244)+ABS(C244))*D244-E244))</f>
        <v>1366.2570811931114</v>
      </c>
      <c r="G244" s="191">
        <f>IF(INPUT!AB69=1,0.2,IF(INPUT!AB69=2,0.25,0))*INPUT!N69</f>
        <v>700</v>
      </c>
      <c r="H244" s="192">
        <f>IF(OR(B244=0,C244=0),0,IF(B244&lt;=0,C244/B244,B244/C244))</f>
        <v>-1.0562201628934858</v>
      </c>
      <c r="I244" s="191">
        <f>INPUT!N69</f>
        <v>2800</v>
      </c>
      <c r="J244" s="195">
        <f>IF(INPUT!AB69=0,9/(F244/I244)^2,IF(INPUT!AB69=1,IF(AND(B244&lt;=0,C244&lt;=0),7.2,IF(G244/F244&gt;=0.4,MAX(5.17/(G244/I244)^2,9/(F244/I244)^2),11.64/((F244-G244)/I244)^2)),IF(H244&gt;=-1,247.8*((G244/F244)^1.8)*(1-H244)^2.7,247.8*(1-H244)^0.32)))</f>
        <v>312.09267694395447</v>
      </c>
      <c r="K244" s="131">
        <f>MIN(0.9*INPUT!$B$2*J244/(INPUT!N69/COS(INPUT!P69)/INPUT!O69)^2,J108*INPUT!AO69,INPUT!AQ69/0.7)</f>
        <v>0</v>
      </c>
      <c r="L244" s="131">
        <f>IF(B244&lt;=0,B244,C244)</f>
        <v>-0.691624579055492</v>
      </c>
      <c r="M244" s="203" t="str">
        <f>IF(ABS(L244)&lt;=K244,"OK","NG")</f>
        <v>NG</v>
      </c>
      <c r="N244" s="4"/>
    </row>
    <row r="245">
      <c r="A245" s="187">
        <f>A109</f>
        <v>101</v>
      </c>
      <c r="B245" s="191">
        <f>B109</f>
        <v>0.73050782555113025</v>
      </c>
      <c r="C245" s="191">
        <f>C109</f>
        <v>-0.691624579055492</v>
      </c>
      <c r="D245" s="191">
        <f>INPUT!J70+INPUT!L70+INPUT!N70</f>
        <v>2834</v>
      </c>
      <c r="E245" s="343">
        <f>IF(B245&lt;=0,INPUT!J70,INPUT!L70)</f>
        <v>12</v>
      </c>
      <c r="F245" s="191">
        <f>IF(AND(B245=0,C245=0),I245,IF((ABS(B245)+ABS(C245))=0,0,IF(B245&lt;=0,ABS(B245),ABS(C245))/(ABS(B245)+ABS(C245))*D245-E245))</f>
        <v>1366.2570811931114</v>
      </c>
      <c r="G245" s="191">
        <f>IF(INPUT!AB70=1,0.2,IF(INPUT!AB70=2,0.25,0))*INPUT!N70</f>
        <v>700</v>
      </c>
      <c r="H245" s="192">
        <f>IF(OR(B245=0,C245=0),0,IF(B245&lt;=0,C245/B245,B245/C245))</f>
        <v>-1.0562201628934858</v>
      </c>
      <c r="I245" s="191">
        <f>INPUT!N70</f>
        <v>2800</v>
      </c>
      <c r="J245" s="195">
        <f>IF(INPUT!AB70=0,9/(F245/I245)^2,IF(INPUT!AB70=1,IF(AND(B245&lt;=0,C245&lt;=0),7.2,IF(G245/F245&gt;=0.4,MAX(5.17/(G245/I245)^2,9/(F245/I245)^2),11.64/((F245-G245)/I245)^2)),IF(H245&gt;=-1,247.8*((G245/F245)^1.8)*(1-H245)^2.7,247.8*(1-H245)^0.32)))</f>
        <v>312.09267694395447</v>
      </c>
      <c r="K245" s="131">
        <f>MIN(0.9*INPUT!$B$2*J245/(INPUT!N70/COS(INPUT!P70)/INPUT!O70)^2,J109*INPUT!AO70,INPUT!AQ70/0.7)</f>
        <v>0</v>
      </c>
      <c r="L245" s="131">
        <f>IF(B245&lt;=0,B245,C245)</f>
        <v>-0.691624579055492</v>
      </c>
      <c r="M245" s="203" t="str">
        <f>IF(ABS(L245)&lt;=K245,"OK","NG")</f>
        <v>NG</v>
      </c>
      <c r="N245" s="4"/>
    </row>
    <row r="246">
      <c r="A246" s="187">
        <f>A110</f>
        <v>101</v>
      </c>
      <c r="B246" s="191">
        <f>B110</f>
        <v>0.73050782555113025</v>
      </c>
      <c r="C246" s="191">
        <f>C110</f>
        <v>-0.691624579055492</v>
      </c>
      <c r="D246" s="191">
        <f>INPUT!J71+INPUT!L71+INPUT!N71</f>
        <v>2834</v>
      </c>
      <c r="E246" s="343">
        <f>IF(B246&lt;=0,INPUT!J71,INPUT!L71)</f>
        <v>12</v>
      </c>
      <c r="F246" s="191">
        <f>IF(AND(B246=0,C246=0),I246,IF((ABS(B246)+ABS(C246))=0,0,IF(B246&lt;=0,ABS(B246),ABS(C246))/(ABS(B246)+ABS(C246))*D246-E246))</f>
        <v>1366.2570811931114</v>
      </c>
      <c r="G246" s="191">
        <f>IF(INPUT!AB71=1,0.2,IF(INPUT!AB71=2,0.25,0))*INPUT!N71</f>
        <v>700</v>
      </c>
      <c r="H246" s="192">
        <f>IF(OR(B246=0,C246=0),0,IF(B246&lt;=0,C246/B246,B246/C246))</f>
        <v>-1.0562201628934858</v>
      </c>
      <c r="I246" s="191">
        <f>INPUT!N71</f>
        <v>2800</v>
      </c>
      <c r="J246" s="195">
        <f>IF(INPUT!AB71=0,9/(F246/I246)^2,IF(INPUT!AB71=1,IF(AND(B246&lt;=0,C246&lt;=0),7.2,IF(G246/F246&gt;=0.4,MAX(5.17/(G246/I246)^2,9/(F246/I246)^2),11.64/((F246-G246)/I246)^2)),IF(H246&gt;=-1,247.8*((G246/F246)^1.8)*(1-H246)^2.7,247.8*(1-H246)^0.32)))</f>
        <v>312.09267694395447</v>
      </c>
      <c r="K246" s="131">
        <f>MIN(0.9*INPUT!$B$2*J246/(INPUT!N71/COS(INPUT!P71)/INPUT!O71)^2,J110*INPUT!AO71,INPUT!AQ71/0.7)</f>
        <v>0</v>
      </c>
      <c r="L246" s="131">
        <f>IF(B246&lt;=0,B246,C246)</f>
        <v>-0.691624579055492</v>
      </c>
      <c r="M246" s="203" t="str">
        <f>IF(ABS(L246)&lt;=K246,"OK","NG")</f>
        <v>NG</v>
      </c>
      <c r="N246" s="4"/>
    </row>
    <row r="247">
      <c r="A247" s="187">
        <f>A111</f>
        <v>101</v>
      </c>
      <c r="B247" s="191">
        <f>B111</f>
        <v>0.73050782555113025</v>
      </c>
      <c r="C247" s="191">
        <f>C111</f>
        <v>-0.691624579055492</v>
      </c>
      <c r="D247" s="191">
        <f>INPUT!J72+INPUT!L72+INPUT!N72</f>
        <v>2834</v>
      </c>
      <c r="E247" s="343">
        <f>IF(B247&lt;=0,INPUT!J72,INPUT!L72)</f>
        <v>12</v>
      </c>
      <c r="F247" s="191">
        <f>IF(AND(B247=0,C247=0),I247,IF((ABS(B247)+ABS(C247))=0,0,IF(B247&lt;=0,ABS(B247),ABS(C247))/(ABS(B247)+ABS(C247))*D247-E247))</f>
        <v>1366.2570811931114</v>
      </c>
      <c r="G247" s="191">
        <f>IF(INPUT!AB72=1,0.2,IF(INPUT!AB72=2,0.25,0))*INPUT!N72</f>
        <v>700</v>
      </c>
      <c r="H247" s="192">
        <f>IF(OR(B247=0,C247=0),0,IF(B247&lt;=0,C247/B247,B247/C247))</f>
        <v>-1.0562201628934858</v>
      </c>
      <c r="I247" s="191">
        <f>INPUT!N72</f>
        <v>2800</v>
      </c>
      <c r="J247" s="195">
        <f>IF(INPUT!AB72=0,9/(F247/I247)^2,IF(INPUT!AB72=1,IF(AND(B247&lt;=0,C247&lt;=0),7.2,IF(G247/F247&gt;=0.4,MAX(5.17/(G247/I247)^2,9/(F247/I247)^2),11.64/((F247-G247)/I247)^2)),IF(H247&gt;=-1,247.8*((G247/F247)^1.8)*(1-H247)^2.7,247.8*(1-H247)^0.32)))</f>
        <v>312.09267694395447</v>
      </c>
      <c r="K247" s="131">
        <f>MIN(0.9*INPUT!$B$2*J247/(INPUT!N72/COS(INPUT!P72)/INPUT!O72)^2,J111*INPUT!AO72,INPUT!AQ72/0.7)</f>
        <v>0</v>
      </c>
      <c r="L247" s="131">
        <f>IF(B247&lt;=0,B247,C247)</f>
        <v>-0.691624579055492</v>
      </c>
      <c r="M247" s="203" t="str">
        <f>IF(ABS(L247)&lt;=K247,"OK","NG")</f>
        <v>NG</v>
      </c>
      <c r="N247" s="4"/>
    </row>
    <row r="248">
      <c r="A248" s="187">
        <f>A112</f>
        <v>101</v>
      </c>
      <c r="B248" s="191">
        <f>B112</f>
        <v>0.73050782555113025</v>
      </c>
      <c r="C248" s="191">
        <f>C112</f>
        <v>-0.691624579055492</v>
      </c>
      <c r="D248" s="191">
        <f>INPUT!J73+INPUT!L73+INPUT!N73</f>
        <v>2834</v>
      </c>
      <c r="E248" s="343">
        <f>IF(B248&lt;=0,INPUT!J73,INPUT!L73)</f>
        <v>12</v>
      </c>
      <c r="F248" s="191">
        <f>IF(AND(B248=0,C248=0),I248,IF((ABS(B248)+ABS(C248))=0,0,IF(B248&lt;=0,ABS(B248),ABS(C248))/(ABS(B248)+ABS(C248))*D248-E248))</f>
        <v>1366.2570811931114</v>
      </c>
      <c r="G248" s="191">
        <f>IF(INPUT!AB73=1,0.2,IF(INPUT!AB73=2,0.25,0))*INPUT!N73</f>
        <v>700</v>
      </c>
      <c r="H248" s="192">
        <f>IF(OR(B248=0,C248=0),0,IF(B248&lt;=0,C248/B248,B248/C248))</f>
        <v>-1.0562201628934858</v>
      </c>
      <c r="I248" s="191">
        <f>INPUT!N73</f>
        <v>2800</v>
      </c>
      <c r="J248" s="195">
        <f>IF(INPUT!AB73=0,9/(F248/I248)^2,IF(INPUT!AB73=1,IF(AND(B248&lt;=0,C248&lt;=0),7.2,IF(G248/F248&gt;=0.4,MAX(5.17/(G248/I248)^2,9/(F248/I248)^2),11.64/((F248-G248)/I248)^2)),IF(H248&gt;=-1,247.8*((G248/F248)^1.8)*(1-H248)^2.7,247.8*(1-H248)^0.32)))</f>
        <v>312.09267694395447</v>
      </c>
      <c r="K248" s="131">
        <f>MIN(0.9*INPUT!$B$2*J248/(INPUT!N73/COS(INPUT!P73)/INPUT!O73)^2,J112*INPUT!AO73,INPUT!AQ73/0.7)</f>
        <v>0</v>
      </c>
      <c r="L248" s="131">
        <f>IF(B248&lt;=0,B248,C248)</f>
        <v>-0.691624579055492</v>
      </c>
      <c r="M248" s="203" t="str">
        <f>IF(ABS(L248)&lt;=K248,"OK","NG")</f>
        <v>NG</v>
      </c>
      <c r="N248" s="4"/>
    </row>
    <row r="249">
      <c r="A249" s="187">
        <f>A113</f>
        <v>101</v>
      </c>
      <c r="B249" s="191">
        <f>B113</f>
        <v>0.73050782555113025</v>
      </c>
      <c r="C249" s="191">
        <f>C113</f>
        <v>-0.691624579055492</v>
      </c>
      <c r="D249" s="191">
        <f>INPUT!J74+INPUT!L74+INPUT!N74</f>
        <v>2834</v>
      </c>
      <c r="E249" s="343">
        <f>IF(B249&lt;=0,INPUT!J74,INPUT!L74)</f>
        <v>12</v>
      </c>
      <c r="F249" s="191">
        <f>IF(AND(B249=0,C249=0),I249,IF((ABS(B249)+ABS(C249))=0,0,IF(B249&lt;=0,ABS(B249),ABS(C249))/(ABS(B249)+ABS(C249))*D249-E249))</f>
        <v>1366.2570811931114</v>
      </c>
      <c r="G249" s="191">
        <f>IF(INPUT!AB74=1,0.2,IF(INPUT!AB74=2,0.25,0))*INPUT!N74</f>
        <v>700</v>
      </c>
      <c r="H249" s="192">
        <f>IF(OR(B249=0,C249=0),0,IF(B249&lt;=0,C249/B249,B249/C249))</f>
        <v>-1.0562201628934858</v>
      </c>
      <c r="I249" s="191">
        <f>INPUT!N74</f>
        <v>2800</v>
      </c>
      <c r="J249" s="195">
        <f>IF(INPUT!AB74=0,9/(F249/I249)^2,IF(INPUT!AB74=1,IF(AND(B249&lt;=0,C249&lt;=0),7.2,IF(G249/F249&gt;=0.4,MAX(5.17/(G249/I249)^2,9/(F249/I249)^2),11.64/((F249-G249)/I249)^2)),IF(H249&gt;=-1,247.8*((G249/F249)^1.8)*(1-H249)^2.7,247.8*(1-H249)^0.32)))</f>
        <v>312.09267694395447</v>
      </c>
      <c r="K249" s="131">
        <f>MIN(0.9*INPUT!$B$2*J249/(INPUT!N74/COS(INPUT!P74)/INPUT!O74)^2,J113*INPUT!AO74,INPUT!AQ74/0.7)</f>
        <v>0</v>
      </c>
      <c r="L249" s="131">
        <f>IF(B249&lt;=0,B249,C249)</f>
        <v>-0.691624579055492</v>
      </c>
      <c r="M249" s="203" t="str">
        <f>IF(ABS(L249)&lt;=K249,"OK","NG")</f>
        <v>NG</v>
      </c>
      <c r="N249" s="4"/>
    </row>
    <row r="250">
      <c r="A250" s="187">
        <f>A114</f>
        <v>101</v>
      </c>
      <c r="B250" s="191">
        <f>B114</f>
        <v>0.73050782555113025</v>
      </c>
      <c r="C250" s="191">
        <f>C114</f>
        <v>-0.691624579055492</v>
      </c>
      <c r="D250" s="191">
        <f>INPUT!J75+INPUT!L75+INPUT!N75</f>
        <v>2834</v>
      </c>
      <c r="E250" s="343">
        <f>IF(B250&lt;=0,INPUT!J75,INPUT!L75)</f>
        <v>12</v>
      </c>
      <c r="F250" s="191">
        <f>IF(AND(B250=0,C250=0),I250,IF((ABS(B250)+ABS(C250))=0,0,IF(B250&lt;=0,ABS(B250),ABS(C250))/(ABS(B250)+ABS(C250))*D250-E250))</f>
        <v>1366.2570811931114</v>
      </c>
      <c r="G250" s="191">
        <f>IF(INPUT!AB75=1,0.2,IF(INPUT!AB75=2,0.25,0))*INPUT!N75</f>
        <v>700</v>
      </c>
      <c r="H250" s="192">
        <f>IF(OR(B250=0,C250=0),0,IF(B250&lt;=0,C250/B250,B250/C250))</f>
        <v>-1.0562201628934858</v>
      </c>
      <c r="I250" s="191">
        <f>INPUT!N75</f>
        <v>2800</v>
      </c>
      <c r="J250" s="195">
        <f>IF(INPUT!AB75=0,9/(F250/I250)^2,IF(INPUT!AB75=1,IF(AND(B250&lt;=0,C250&lt;=0),7.2,IF(G250/F250&gt;=0.4,MAX(5.17/(G250/I250)^2,9/(F250/I250)^2),11.64/((F250-G250)/I250)^2)),IF(H250&gt;=-1,247.8*((G250/F250)^1.8)*(1-H250)^2.7,247.8*(1-H250)^0.32)))</f>
        <v>312.09267694395447</v>
      </c>
      <c r="K250" s="131">
        <f>MIN(0.9*INPUT!$B$2*J250/(INPUT!N75/COS(INPUT!P75)/INPUT!O75)^2,J114*INPUT!AO75,INPUT!AQ75/0.7)</f>
        <v>0</v>
      </c>
      <c r="L250" s="131">
        <f>IF(B250&lt;=0,B250,C250)</f>
        <v>-0.691624579055492</v>
      </c>
      <c r="M250" s="203" t="str">
        <f>IF(ABS(L250)&lt;=K250,"OK","NG")</f>
        <v>NG</v>
      </c>
      <c r="N250" s="4"/>
    </row>
    <row r="251">
      <c r="A251" s="187">
        <f>A115</f>
        <v>101</v>
      </c>
      <c r="B251" s="191">
        <f>B115</f>
        <v>0.73050782555113025</v>
      </c>
      <c r="C251" s="191">
        <f>C115</f>
        <v>-0.691624579055492</v>
      </c>
      <c r="D251" s="191">
        <f>INPUT!J76+INPUT!L76+INPUT!N76</f>
        <v>2834</v>
      </c>
      <c r="E251" s="343">
        <f>IF(B251&lt;=0,INPUT!J76,INPUT!L76)</f>
        <v>12</v>
      </c>
      <c r="F251" s="191">
        <f>IF(AND(B251=0,C251=0),I251,IF((ABS(B251)+ABS(C251))=0,0,IF(B251&lt;=0,ABS(B251),ABS(C251))/(ABS(B251)+ABS(C251))*D251-E251))</f>
        <v>1366.2570811931114</v>
      </c>
      <c r="G251" s="191">
        <f>IF(INPUT!AB76=1,0.2,IF(INPUT!AB76=2,0.25,0))*INPUT!N76</f>
        <v>700</v>
      </c>
      <c r="H251" s="192">
        <f>IF(OR(B251=0,C251=0),0,IF(B251&lt;=0,C251/B251,B251/C251))</f>
        <v>-1.0562201628934858</v>
      </c>
      <c r="I251" s="191">
        <f>INPUT!N76</f>
        <v>2800</v>
      </c>
      <c r="J251" s="195">
        <f>IF(INPUT!AB76=0,9/(F251/I251)^2,IF(INPUT!AB76=1,IF(AND(B251&lt;=0,C251&lt;=0),7.2,IF(G251/F251&gt;=0.4,MAX(5.17/(G251/I251)^2,9/(F251/I251)^2),11.64/((F251-G251)/I251)^2)),IF(H251&gt;=-1,247.8*((G251/F251)^1.8)*(1-H251)^2.7,247.8*(1-H251)^0.32)))</f>
        <v>312.09267694395447</v>
      </c>
      <c r="K251" s="131">
        <f>MIN(0.9*INPUT!$B$2*J251/(INPUT!N76/COS(INPUT!P76)/INPUT!O76)^2,J115*INPUT!AO76,INPUT!AQ76/0.7)</f>
        <v>0</v>
      </c>
      <c r="L251" s="131">
        <f>IF(B251&lt;=0,B251,C251)</f>
        <v>-0.691624579055492</v>
      </c>
      <c r="M251" s="203" t="str">
        <f>IF(ABS(L251)&lt;=K251,"OK","NG")</f>
        <v>NG</v>
      </c>
      <c r="N251" s="4"/>
    </row>
    <row r="252">
      <c r="A252" s="187">
        <f>A116</f>
        <v>101</v>
      </c>
      <c r="B252" s="191">
        <f>B116</f>
        <v>0.73050782555113025</v>
      </c>
      <c r="C252" s="191">
        <f>C116</f>
        <v>-0.691624579055492</v>
      </c>
      <c r="D252" s="191">
        <f>INPUT!J77+INPUT!L77+INPUT!N77</f>
        <v>2834</v>
      </c>
      <c r="E252" s="343">
        <f>IF(B252&lt;=0,INPUT!J77,INPUT!L77)</f>
        <v>12</v>
      </c>
      <c r="F252" s="191">
        <f>IF(AND(B252=0,C252=0),I252,IF((ABS(B252)+ABS(C252))=0,0,IF(B252&lt;=0,ABS(B252),ABS(C252))/(ABS(B252)+ABS(C252))*D252-E252))</f>
        <v>1366.2570811931114</v>
      </c>
      <c r="G252" s="191">
        <f>IF(INPUT!AB77=1,0.2,IF(INPUT!AB77=2,0.25,0))*INPUT!N77</f>
        <v>700</v>
      </c>
      <c r="H252" s="192">
        <f>IF(OR(B252=0,C252=0),0,IF(B252&lt;=0,C252/B252,B252/C252))</f>
        <v>-1.0562201628934858</v>
      </c>
      <c r="I252" s="191">
        <f>INPUT!N77</f>
        <v>2800</v>
      </c>
      <c r="J252" s="195">
        <f>IF(INPUT!AB77=0,9/(F252/I252)^2,IF(INPUT!AB77=1,IF(AND(B252&lt;=0,C252&lt;=0),7.2,IF(G252/F252&gt;=0.4,MAX(5.17/(G252/I252)^2,9/(F252/I252)^2),11.64/((F252-G252)/I252)^2)),IF(H252&gt;=-1,247.8*((G252/F252)^1.8)*(1-H252)^2.7,247.8*(1-H252)^0.32)))</f>
        <v>312.09267694395447</v>
      </c>
      <c r="K252" s="131">
        <f>MIN(0.9*INPUT!$B$2*J252/(INPUT!N77/COS(INPUT!P77)/INPUT!O77)^2,J116*INPUT!AO77,INPUT!AQ77/0.7)</f>
        <v>0</v>
      </c>
      <c r="L252" s="131">
        <f>IF(B252&lt;=0,B252,C252)</f>
        <v>-0.691624579055492</v>
      </c>
      <c r="M252" s="203" t="str">
        <f>IF(ABS(L252)&lt;=K252,"OK","NG")</f>
        <v>NG</v>
      </c>
      <c r="N252" s="4"/>
    </row>
    <row r="253">
      <c r="A253" s="187">
        <f>A117</f>
        <v>101</v>
      </c>
      <c r="B253" s="191">
        <f>B117</f>
        <v>0.73050782555113025</v>
      </c>
      <c r="C253" s="191">
        <f>C117</f>
        <v>-0.691624579055492</v>
      </c>
      <c r="D253" s="191">
        <f>INPUT!J78+INPUT!L78+INPUT!N78</f>
        <v>2834</v>
      </c>
      <c r="E253" s="343">
        <f>IF(B253&lt;=0,INPUT!J78,INPUT!L78)</f>
        <v>12</v>
      </c>
      <c r="F253" s="191">
        <f>IF(AND(B253=0,C253=0),I253,IF((ABS(B253)+ABS(C253))=0,0,IF(B253&lt;=0,ABS(B253),ABS(C253))/(ABS(B253)+ABS(C253))*D253-E253))</f>
        <v>1366.2570811931114</v>
      </c>
      <c r="G253" s="191">
        <f>IF(INPUT!AB78=1,0.2,IF(INPUT!AB78=2,0.25,0))*INPUT!N78</f>
        <v>700</v>
      </c>
      <c r="H253" s="192">
        <f>IF(OR(B253=0,C253=0),0,IF(B253&lt;=0,C253/B253,B253/C253))</f>
        <v>-1.0562201628934858</v>
      </c>
      <c r="I253" s="191">
        <f>INPUT!N78</f>
        <v>2800</v>
      </c>
      <c r="J253" s="195">
        <f>IF(INPUT!AB78=0,9/(F253/I253)^2,IF(INPUT!AB78=1,IF(AND(B253&lt;=0,C253&lt;=0),7.2,IF(G253/F253&gt;=0.4,MAX(5.17/(G253/I253)^2,9/(F253/I253)^2),11.64/((F253-G253)/I253)^2)),IF(H253&gt;=-1,247.8*((G253/F253)^1.8)*(1-H253)^2.7,247.8*(1-H253)^0.32)))</f>
        <v>312.09267694395447</v>
      </c>
      <c r="K253" s="131">
        <f>MIN(0.9*INPUT!$B$2*J253/(INPUT!N78/COS(INPUT!P78)/INPUT!O78)^2,J117*INPUT!AO78,INPUT!AQ78/0.7)</f>
        <v>0</v>
      </c>
      <c r="L253" s="131">
        <f>IF(B253&lt;=0,B253,C253)</f>
        <v>-0.691624579055492</v>
      </c>
      <c r="M253" s="203" t="str">
        <f>IF(ABS(L253)&lt;=K253,"OK","NG")</f>
        <v>NG</v>
      </c>
      <c r="N253" s="4"/>
    </row>
    <row r="254" ht="15" customHeight="1" s="4" customFormat="1">
      <c r="A254" s="400"/>
      <c r="B254" s="292"/>
      <c r="C254" s="292"/>
      <c r="D254" s="399"/>
      <c r="E254" s="399"/>
      <c r="F254" s="292"/>
      <c r="G254" s="292"/>
      <c r="H254" s="292"/>
      <c r="I254" s="292"/>
      <c r="J254" s="401"/>
      <c r="K254" s="401"/>
      <c r="O254" s="383"/>
    </row>
    <row r="255" ht="15" customHeight="1" s="4" customFormat="1">
      <c r="A255" s="80"/>
      <c r="B255" s="396"/>
      <c r="C255" s="396"/>
      <c r="F255" s="396"/>
      <c r="G255" s="396"/>
      <c r="H255" s="396"/>
      <c r="I255" s="396"/>
      <c r="J255" s="397"/>
      <c r="K255" s="397"/>
      <c r="O255" s="383"/>
    </row>
    <row r="256" ht="15" customHeight="1" s="4" customFormat="1">
      <c r="A256" s="39" t="s">
        <v>1048</v>
      </c>
      <c r="L256" s="372"/>
      <c r="O256" s="296"/>
      <c r="X256" s="372"/>
      <c r="Z256" s="372"/>
      <c r="AC256" s="372"/>
      <c r="AN256" s="171"/>
      <c r="AQ256" s="30"/>
    </row>
    <row r="257" ht="15" customHeight="1" s="4" customFormat="1">
      <c r="A257" s="156"/>
      <c r="L257" s="372"/>
      <c r="O257" s="296"/>
      <c r="X257" s="372"/>
      <c r="Z257" s="372"/>
      <c r="AC257" s="372"/>
      <c r="AN257" s="171"/>
      <c r="AQ257" s="30"/>
    </row>
    <row r="258" ht="20.1" customHeight="1" s="366" customFormat="1">
      <c r="A258" s="40"/>
      <c r="B258" s="19"/>
      <c r="C258" s="41"/>
      <c r="D258" s="42"/>
      <c r="E258" s="43" t="s">
        <v>1049</v>
      </c>
      <c r="F258" s="42"/>
      <c r="G258" s="44"/>
      <c r="H258" s="45"/>
      <c r="I258" s="4"/>
      <c r="J258" s="4"/>
      <c r="K258" s="4"/>
      <c r="L258" s="372"/>
      <c r="M258" s="4"/>
      <c r="N258" s="65"/>
      <c r="O258" s="383"/>
    </row>
    <row r="259" ht="15" customHeight="1" s="4" customFormat="1">
      <c r="A259" s="156"/>
      <c r="D259" s="19"/>
      <c r="L259" s="372"/>
      <c r="O259" s="296"/>
      <c r="X259" s="372"/>
      <c r="Z259" s="372"/>
      <c r="AC259" s="372"/>
      <c r="AN259" s="171"/>
      <c r="AQ259" s="30"/>
    </row>
    <row r="260" ht="15" customHeight="1" s="4" customFormat="1">
      <c r="B260" s="4" t="s">
        <v>171</v>
      </c>
      <c r="C260" s="30" t="s">
        <v>1050</v>
      </c>
      <c r="L260" s="372"/>
      <c r="O260" s="296"/>
      <c r="X260" s="372"/>
      <c r="Z260" s="372"/>
      <c r="AC260" s="372"/>
      <c r="AN260" s="171"/>
      <c r="AQ260" s="30"/>
    </row>
    <row r="261" ht="15" customHeight="1" s="4" customFormat="1">
      <c r="B261" s="11"/>
      <c r="C261" s="505" t="s">
        <v>1051</v>
      </c>
      <c r="D261" s="403" t="s">
        <v>1052</v>
      </c>
      <c r="E261" s="22"/>
      <c r="F261" s="318"/>
      <c r="O261" s="296"/>
      <c r="X261" s="372"/>
      <c r="Z261" s="372"/>
      <c r="AC261" s="372"/>
      <c r="AN261" s="171"/>
      <c r="AQ261" s="30"/>
    </row>
    <row r="262" ht="15" customHeight="1" s="4" customFormat="1">
      <c r="B262" s="11"/>
      <c r="C262" s="505"/>
      <c r="D262" s="30"/>
      <c r="E262" s="4" t="s">
        <v>1053</v>
      </c>
      <c r="F262" s="38"/>
      <c r="O262" s="296"/>
      <c r="X262" s="372"/>
      <c r="Z262" s="372"/>
      <c r="AC262" s="372"/>
      <c r="AN262" s="171"/>
      <c r="AQ262" s="30"/>
    </row>
    <row r="263" ht="15" customHeight="1" s="4" customFormat="1">
      <c r="B263" s="11"/>
      <c r="C263" s="373" t="s">
        <v>1054</v>
      </c>
      <c r="D263" s="313">
        <f>0.8*INPUT!B7</f>
        <v>0</v>
      </c>
      <c r="L263" s="372"/>
      <c r="O263" s="296"/>
      <c r="X263" s="372"/>
      <c r="Z263" s="372"/>
      <c r="AC263" s="372"/>
      <c r="AN263" s="171"/>
      <c r="AQ263" s="30"/>
    </row>
    <row r="264" ht="15" customHeight="1" s="4" customFormat="1">
      <c r="A264" s="372"/>
      <c r="B264" s="372"/>
      <c r="C264" s="372"/>
      <c r="D264" s="372"/>
      <c r="E264" s="372"/>
      <c r="F264" s="372"/>
      <c r="G264" s="372"/>
      <c r="I264" s="372"/>
      <c r="J264" s="372"/>
      <c r="K264" s="372"/>
      <c r="L264" s="372"/>
      <c r="O264" s="296"/>
      <c r="X264" s="372"/>
      <c r="Z264" s="372"/>
      <c r="AC264" s="372"/>
      <c r="AN264" s="171"/>
      <c r="AQ264" s="30"/>
    </row>
    <row r="265" ht="15" customHeight="1" s="4" customFormat="1">
      <c r="C265" s="59" t="s">
        <v>1055</v>
      </c>
      <c r="I265" s="372"/>
      <c r="O265" s="296"/>
      <c r="X265" s="372"/>
      <c r="Z265" s="372"/>
      <c r="AC265" s="372"/>
    </row>
    <row r="266" ht="15" customHeight="1" s="4" customFormat="1">
      <c r="C266" s="135" t="s">
        <v>230</v>
      </c>
      <c r="D266" s="376" t="s">
        <v>1056</v>
      </c>
      <c r="E266" s="404"/>
      <c r="F266" s="494" t="s">
        <v>799</v>
      </c>
      <c r="G266" s="498"/>
      <c r="H266" s="498"/>
      <c r="I266" s="495"/>
      <c r="J266" s="376" t="s">
        <v>800</v>
      </c>
      <c r="K266" s="376" t="s">
        <v>1057</v>
      </c>
      <c r="L266" s="74" t="s">
        <v>246</v>
      </c>
      <c r="O266" s="296"/>
    </row>
    <row r="267" ht="15" customHeight="1" s="4" customFormat="1">
      <c r="C267" s="136"/>
      <c r="D267" s="377" t="s">
        <v>250</v>
      </c>
      <c r="E267" s="405"/>
      <c r="F267" s="377" t="s">
        <v>1058</v>
      </c>
      <c r="G267" s="377" t="s">
        <v>927</v>
      </c>
      <c r="H267" s="377" t="s">
        <v>929</v>
      </c>
      <c r="I267" s="377" t="s">
        <v>928</v>
      </c>
      <c r="J267" s="377" t="s">
        <v>1059</v>
      </c>
      <c r="K267" s="377" t="s">
        <v>1060</v>
      </c>
      <c r="L267" s="151"/>
      <c r="O267" s="296"/>
    </row>
    <row r="268" ht="15" customHeight="1">
      <c r="C268" s="187">
        <f>A178</f>
        <v>101</v>
      </c>
      <c r="D268" s="174" t="str">
        <f>IF(B178&lt;=0,"Positive","Negative")</f>
        <v>Negative</v>
      </c>
      <c r="E268" s="380"/>
      <c r="F268" s="191">
        <f>INPUT!BM3</f>
        <v>-16.412485402193852</v>
      </c>
      <c r="G268" s="191">
        <f>INPUT!BN3</f>
        <v>-8.999003956472734</v>
      </c>
      <c r="H268" s="191">
        <f>INPUT!BP3</f>
        <v>-0.077584609589393949</v>
      </c>
      <c r="I268" s="191">
        <f>INPUT!BO3</f>
        <v>0.20136282870134892</v>
      </c>
      <c r="J268" s="175">
        <f>INPUT!CP3</f>
        <v>105951615.21003078</v>
      </c>
      <c r="K268" s="191">
        <f>IF(D268="Positive","-",-(F268+G268+H268)/J268*10^6)</f>
        <v>0.24057277388106158</v>
      </c>
      <c r="L268" s="391" t="str">
        <f>IF(D268="Positive","-",IF(K268&lt;=$D$263,"OK","NG"))</f>
        <v>NG</v>
      </c>
      <c r="M268" s="4"/>
      <c r="N268" s="4"/>
    </row>
    <row r="269">
      <c r="C269" s="187">
        <f>A179</f>
        <v>101</v>
      </c>
      <c r="D269" s="174" t="str">
        <f>IF(B179&lt;=0,"Positive","Negative")</f>
        <v>Negative</v>
      </c>
      <c r="E269" s="380"/>
      <c r="F269" s="191">
        <f>INPUT!BM4</f>
        <v>-16.412485402193852</v>
      </c>
      <c r="G269" s="191">
        <f>INPUT!BN4</f>
        <v>-8.999003956472734</v>
      </c>
      <c r="H269" s="191">
        <f>INPUT!BP4</f>
        <v>-0.077584609589393949</v>
      </c>
      <c r="I269" s="191">
        <f>INPUT!BO4</f>
        <v>0.20136282870134892</v>
      </c>
      <c r="J269" s="175">
        <f>INPUT!CP4</f>
        <v>105951615.21003078</v>
      </c>
      <c r="K269" s="191">
        <f>IF(D269="Positive","-",-(F269+G269+H269)/J269*10^6)</f>
        <v>0.24057277388106158</v>
      </c>
      <c r="L269" s="391" t="str">
        <f>IF(D269="Positive","-",IF(K269&lt;=$D$263,"OK","NG"))</f>
        <v>NG</v>
      </c>
      <c r="M269" s="4"/>
      <c r="N269" s="4"/>
    </row>
    <row r="270">
      <c r="C270" s="187">
        <f>A180</f>
        <v>101</v>
      </c>
      <c r="D270" s="174" t="str">
        <f>IF(B180&lt;=0,"Positive","Negative")</f>
        <v>Negative</v>
      </c>
      <c r="E270" s="380"/>
      <c r="F270" s="191">
        <f>INPUT!BM5</f>
        <v>-16.412485402193852</v>
      </c>
      <c r="G270" s="191">
        <f>INPUT!BN5</f>
        <v>-8.999003956472734</v>
      </c>
      <c r="H270" s="191">
        <f>INPUT!BP5</f>
        <v>-0.077584609589393949</v>
      </c>
      <c r="I270" s="191">
        <f>INPUT!BO5</f>
        <v>0.20136282870134892</v>
      </c>
      <c r="J270" s="175">
        <f>INPUT!CP5</f>
        <v>105951615.21003078</v>
      </c>
      <c r="K270" s="191">
        <f>IF(D270="Positive","-",-(F270+G270+H270)/J270*10^6)</f>
        <v>0.24057277388106158</v>
      </c>
      <c r="L270" s="391" t="str">
        <f>IF(D270="Positive","-",IF(K270&lt;=$D$263,"OK","NG"))</f>
        <v>NG</v>
      </c>
      <c r="M270" s="4"/>
      <c r="N270" s="4"/>
    </row>
    <row r="271">
      <c r="C271" s="187">
        <f>A181</f>
        <v>101</v>
      </c>
      <c r="D271" s="174" t="str">
        <f>IF(B181&lt;=0,"Positive","Negative")</f>
        <v>Negative</v>
      </c>
      <c r="E271" s="380"/>
      <c r="F271" s="191">
        <f>INPUT!BM6</f>
        <v>-16.412485402193852</v>
      </c>
      <c r="G271" s="191">
        <f>INPUT!BN6</f>
        <v>-8.999003956472734</v>
      </c>
      <c r="H271" s="191">
        <f>INPUT!BP6</f>
        <v>-0.077584609589393949</v>
      </c>
      <c r="I271" s="191">
        <f>INPUT!BO6</f>
        <v>0.20136282870134892</v>
      </c>
      <c r="J271" s="175">
        <f>INPUT!CP6</f>
        <v>105951615.21003078</v>
      </c>
      <c r="K271" s="191">
        <f>IF(D271="Positive","-",-(F271+G271+H271)/J271*10^6)</f>
        <v>0.24057277388106158</v>
      </c>
      <c r="L271" s="391" t="str">
        <f>IF(D271="Positive","-",IF(K271&lt;=$D$263,"OK","NG"))</f>
        <v>NG</v>
      </c>
      <c r="M271" s="4"/>
      <c r="N271" s="4"/>
    </row>
    <row r="272">
      <c r="C272" s="187">
        <f>A182</f>
        <v>101</v>
      </c>
      <c r="D272" s="174" t="str">
        <f>IF(B182&lt;=0,"Positive","Negative")</f>
        <v>Negative</v>
      </c>
      <c r="E272" s="380"/>
      <c r="F272" s="191">
        <f>INPUT!BM7</f>
        <v>-16.412485402193852</v>
      </c>
      <c r="G272" s="191">
        <f>INPUT!BN7</f>
        <v>-8.999003956472734</v>
      </c>
      <c r="H272" s="191">
        <f>INPUT!BP7</f>
        <v>-0.077584609589393949</v>
      </c>
      <c r="I272" s="191">
        <f>INPUT!BO7</f>
        <v>0.20136282870134892</v>
      </c>
      <c r="J272" s="175">
        <f>INPUT!CP7</f>
        <v>105951615.21003078</v>
      </c>
      <c r="K272" s="191">
        <f>IF(D272="Positive","-",-(F272+G272+H272)/J272*10^6)</f>
        <v>0.24057277388106158</v>
      </c>
      <c r="L272" s="391" t="str">
        <f>IF(D272="Positive","-",IF(K272&lt;=$D$263,"OK","NG"))</f>
        <v>NG</v>
      </c>
      <c r="M272" s="4"/>
      <c r="N272" s="4"/>
    </row>
    <row r="273">
      <c r="C273" s="187">
        <f>A183</f>
        <v>101</v>
      </c>
      <c r="D273" s="174" t="str">
        <f>IF(B183&lt;=0,"Positive","Negative")</f>
        <v>Negative</v>
      </c>
      <c r="E273" s="380"/>
      <c r="F273" s="191">
        <f>INPUT!BM8</f>
        <v>-16.412485402193852</v>
      </c>
      <c r="G273" s="191">
        <f>INPUT!BN8</f>
        <v>-8.999003956472734</v>
      </c>
      <c r="H273" s="191">
        <f>INPUT!BP8</f>
        <v>-0.077584609589393949</v>
      </c>
      <c r="I273" s="191">
        <f>INPUT!BO8</f>
        <v>0.20136282870134892</v>
      </c>
      <c r="J273" s="175">
        <f>INPUT!CP8</f>
        <v>105951615.21003078</v>
      </c>
      <c r="K273" s="191">
        <f>IF(D273="Positive","-",-(F273+G273+H273)/J273*10^6)</f>
        <v>0.24057277388106158</v>
      </c>
      <c r="L273" s="391" t="str">
        <f>IF(D273="Positive","-",IF(K273&lt;=$D$263,"OK","NG"))</f>
        <v>NG</v>
      </c>
      <c r="M273" s="4"/>
      <c r="N273" s="4"/>
    </row>
    <row r="274">
      <c r="C274" s="187">
        <f>A184</f>
        <v>101</v>
      </c>
      <c r="D274" s="174" t="str">
        <f>IF(B184&lt;=0,"Positive","Negative")</f>
        <v>Negative</v>
      </c>
      <c r="E274" s="380"/>
      <c r="F274" s="191">
        <f>INPUT!BM9</f>
        <v>-16.412485402193852</v>
      </c>
      <c r="G274" s="191">
        <f>INPUT!BN9</f>
        <v>-8.999003956472734</v>
      </c>
      <c r="H274" s="191">
        <f>INPUT!BP9</f>
        <v>-0.077584609589393949</v>
      </c>
      <c r="I274" s="191">
        <f>INPUT!BO9</f>
        <v>0.20136282870134892</v>
      </c>
      <c r="J274" s="175">
        <f>INPUT!CP9</f>
        <v>105951615.21003078</v>
      </c>
      <c r="K274" s="191">
        <f>IF(D274="Positive","-",-(F274+G274+H274)/J274*10^6)</f>
        <v>0.24057277388106158</v>
      </c>
      <c r="L274" s="391" t="str">
        <f>IF(D274="Positive","-",IF(K274&lt;=$D$263,"OK","NG"))</f>
        <v>NG</v>
      </c>
      <c r="M274" s="4"/>
      <c r="N274" s="4"/>
    </row>
    <row r="275">
      <c r="C275" s="187">
        <f>A185</f>
        <v>101</v>
      </c>
      <c r="D275" s="174" t="str">
        <f>IF(B185&lt;=0,"Positive","Negative")</f>
        <v>Negative</v>
      </c>
      <c r="E275" s="380"/>
      <c r="F275" s="191">
        <f>INPUT!BM10</f>
        <v>-16.412485402193852</v>
      </c>
      <c r="G275" s="191">
        <f>INPUT!BN10</f>
        <v>-8.999003956472734</v>
      </c>
      <c r="H275" s="191">
        <f>INPUT!BP10</f>
        <v>-0.077584609589393949</v>
      </c>
      <c r="I275" s="191">
        <f>INPUT!BO10</f>
        <v>0.20136282870134892</v>
      </c>
      <c r="J275" s="175">
        <f>INPUT!CP10</f>
        <v>105951615.21003078</v>
      </c>
      <c r="K275" s="191">
        <f>IF(D275="Positive","-",-(F275+G275+H275)/J275*10^6)</f>
        <v>0.24057277388106158</v>
      </c>
      <c r="L275" s="391" t="str">
        <f>IF(D275="Positive","-",IF(K275&lt;=$D$263,"OK","NG"))</f>
        <v>NG</v>
      </c>
      <c r="M275" s="4"/>
      <c r="N275" s="4"/>
    </row>
    <row r="276">
      <c r="C276" s="187">
        <f>A186</f>
        <v>101</v>
      </c>
      <c r="D276" s="174" t="str">
        <f>IF(B186&lt;=0,"Positive","Negative")</f>
        <v>Negative</v>
      </c>
      <c r="E276" s="380"/>
      <c r="F276" s="191">
        <f>INPUT!BM11</f>
        <v>-16.412485402193852</v>
      </c>
      <c r="G276" s="191">
        <f>INPUT!BN11</f>
        <v>-8.999003956472734</v>
      </c>
      <c r="H276" s="191">
        <f>INPUT!BP11</f>
        <v>-0.077584609589393949</v>
      </c>
      <c r="I276" s="191">
        <f>INPUT!BO11</f>
        <v>0.20136282870134892</v>
      </c>
      <c r="J276" s="175">
        <f>INPUT!CP11</f>
        <v>105951615.21003078</v>
      </c>
      <c r="K276" s="191">
        <f>IF(D276="Positive","-",-(F276+G276+H276)/J276*10^6)</f>
        <v>0.24057277388106158</v>
      </c>
      <c r="L276" s="391" t="str">
        <f>IF(D276="Positive","-",IF(K276&lt;=$D$263,"OK","NG"))</f>
        <v>NG</v>
      </c>
      <c r="M276" s="4"/>
      <c r="N276" s="4"/>
    </row>
    <row r="277">
      <c r="C277" s="187">
        <f>A187</f>
        <v>101</v>
      </c>
      <c r="D277" s="174" t="str">
        <f>IF(B187&lt;=0,"Positive","Negative")</f>
        <v>Negative</v>
      </c>
      <c r="E277" s="380"/>
      <c r="F277" s="191">
        <f>INPUT!BM12</f>
        <v>-16.412485402193852</v>
      </c>
      <c r="G277" s="191">
        <f>INPUT!BN12</f>
        <v>-8.999003956472734</v>
      </c>
      <c r="H277" s="191">
        <f>INPUT!BP12</f>
        <v>-0.077584609589393949</v>
      </c>
      <c r="I277" s="191">
        <f>INPUT!BO12</f>
        <v>0.20136282870134892</v>
      </c>
      <c r="J277" s="175">
        <f>INPUT!CP12</f>
        <v>105951615.21003078</v>
      </c>
      <c r="K277" s="191">
        <f>IF(D277="Positive","-",-(F277+G277+H277)/J277*10^6)</f>
        <v>0.24057277388106158</v>
      </c>
      <c r="L277" s="391" t="str">
        <f>IF(D277="Positive","-",IF(K277&lt;=$D$263,"OK","NG"))</f>
        <v>NG</v>
      </c>
      <c r="M277" s="4"/>
      <c r="N277" s="4"/>
    </row>
    <row r="278">
      <c r="C278" s="187">
        <f>A188</f>
        <v>101</v>
      </c>
      <c r="D278" s="174" t="str">
        <f>IF(B188&lt;=0,"Positive","Negative")</f>
        <v>Negative</v>
      </c>
      <c r="E278" s="380"/>
      <c r="F278" s="191">
        <f>INPUT!BM13</f>
        <v>-16.412485402193852</v>
      </c>
      <c r="G278" s="191">
        <f>INPUT!BN13</f>
        <v>-8.999003956472734</v>
      </c>
      <c r="H278" s="191">
        <f>INPUT!BP13</f>
        <v>-0.077584609589393949</v>
      </c>
      <c r="I278" s="191">
        <f>INPUT!BO13</f>
        <v>0.20136282870134892</v>
      </c>
      <c r="J278" s="175">
        <f>INPUT!CP13</f>
        <v>105951615.21003078</v>
      </c>
      <c r="K278" s="191">
        <f>IF(D278="Positive","-",-(F278+G278+H278)/J278*10^6)</f>
        <v>0.24057277388106158</v>
      </c>
      <c r="L278" s="391" t="str">
        <f>IF(D278="Positive","-",IF(K278&lt;=$D$263,"OK","NG"))</f>
        <v>NG</v>
      </c>
      <c r="M278" s="4"/>
      <c r="N278" s="4"/>
    </row>
    <row r="279">
      <c r="C279" s="187">
        <f>A189</f>
        <v>101</v>
      </c>
      <c r="D279" s="174" t="str">
        <f>IF(B189&lt;=0,"Positive","Negative")</f>
        <v>Negative</v>
      </c>
      <c r="E279" s="380"/>
      <c r="F279" s="191">
        <f>INPUT!BM14</f>
        <v>-16.412485402193852</v>
      </c>
      <c r="G279" s="191">
        <f>INPUT!BN14</f>
        <v>-8.999003956472734</v>
      </c>
      <c r="H279" s="191">
        <f>INPUT!BP14</f>
        <v>-0.077584609589393949</v>
      </c>
      <c r="I279" s="191">
        <f>INPUT!BO14</f>
        <v>0.20136282870134892</v>
      </c>
      <c r="J279" s="175">
        <f>INPUT!CP14</f>
        <v>105951615.21003078</v>
      </c>
      <c r="K279" s="191">
        <f>IF(D279="Positive","-",-(F279+G279+H279)/J279*10^6)</f>
        <v>0.24057277388106158</v>
      </c>
      <c r="L279" s="391" t="str">
        <f>IF(D279="Positive","-",IF(K279&lt;=$D$263,"OK","NG"))</f>
        <v>NG</v>
      </c>
      <c r="M279" s="4"/>
      <c r="N279" s="4"/>
    </row>
    <row r="280">
      <c r="C280" s="187">
        <f>A190</f>
        <v>101</v>
      </c>
      <c r="D280" s="174" t="str">
        <f>IF(B190&lt;=0,"Positive","Negative")</f>
        <v>Negative</v>
      </c>
      <c r="E280" s="380"/>
      <c r="F280" s="191">
        <f>INPUT!BM15</f>
        <v>-16.412485402193852</v>
      </c>
      <c r="G280" s="191">
        <f>INPUT!BN15</f>
        <v>-8.999003956472734</v>
      </c>
      <c r="H280" s="191">
        <f>INPUT!BP15</f>
        <v>-0.077584609589393949</v>
      </c>
      <c r="I280" s="191">
        <f>INPUT!BO15</f>
        <v>0.20136282870134892</v>
      </c>
      <c r="J280" s="175">
        <f>INPUT!CP15</f>
        <v>105951615.21003078</v>
      </c>
      <c r="K280" s="191">
        <f>IF(D280="Positive","-",-(F280+G280+H280)/J280*10^6)</f>
        <v>0.24057277388106158</v>
      </c>
      <c r="L280" s="391" t="str">
        <f>IF(D280="Positive","-",IF(K280&lt;=$D$263,"OK","NG"))</f>
        <v>NG</v>
      </c>
      <c r="M280" s="4"/>
      <c r="N280" s="4"/>
    </row>
    <row r="281">
      <c r="C281" s="187">
        <f>A191</f>
        <v>101</v>
      </c>
      <c r="D281" s="174" t="str">
        <f>IF(B191&lt;=0,"Positive","Negative")</f>
        <v>Negative</v>
      </c>
      <c r="E281" s="380"/>
      <c r="F281" s="191">
        <f>INPUT!BM16</f>
        <v>-16.412485402193852</v>
      </c>
      <c r="G281" s="191">
        <f>INPUT!BN16</f>
        <v>-8.999003956472734</v>
      </c>
      <c r="H281" s="191">
        <f>INPUT!BP16</f>
        <v>-0.077584609589393949</v>
      </c>
      <c r="I281" s="191">
        <f>INPUT!BO16</f>
        <v>0.20136282870134892</v>
      </c>
      <c r="J281" s="175">
        <f>INPUT!CP16</f>
        <v>105951615.21003078</v>
      </c>
      <c r="K281" s="191">
        <f>IF(D281="Positive","-",-(F281+G281+H281)/J281*10^6)</f>
        <v>0.24057277388106158</v>
      </c>
      <c r="L281" s="391" t="str">
        <f>IF(D281="Positive","-",IF(K281&lt;=$D$263,"OK","NG"))</f>
        <v>NG</v>
      </c>
      <c r="M281" s="4"/>
      <c r="N281" s="4"/>
    </row>
    <row r="282">
      <c r="C282" s="187">
        <f>A192</f>
        <v>101</v>
      </c>
      <c r="D282" s="174" t="str">
        <f>IF(B192&lt;=0,"Positive","Negative")</f>
        <v>Negative</v>
      </c>
      <c r="E282" s="380"/>
      <c r="F282" s="191">
        <f>INPUT!BM17</f>
        <v>-16.412485402193852</v>
      </c>
      <c r="G282" s="191">
        <f>INPUT!BN17</f>
        <v>-8.999003956472734</v>
      </c>
      <c r="H282" s="191">
        <f>INPUT!BP17</f>
        <v>-0.077584609589393949</v>
      </c>
      <c r="I282" s="191">
        <f>INPUT!BO17</f>
        <v>0.20136282870134892</v>
      </c>
      <c r="J282" s="175">
        <f>INPUT!CP17</f>
        <v>105951615.21003078</v>
      </c>
      <c r="K282" s="191">
        <f>IF(D282="Positive","-",-(F282+G282+H282)/J282*10^6)</f>
        <v>0.24057277388106158</v>
      </c>
      <c r="L282" s="391" t="str">
        <f>IF(D282="Positive","-",IF(K282&lt;=$D$263,"OK","NG"))</f>
        <v>NG</v>
      </c>
      <c r="M282" s="4"/>
      <c r="N282" s="4"/>
    </row>
    <row r="283">
      <c r="C283" s="187">
        <f>A193</f>
        <v>101</v>
      </c>
      <c r="D283" s="174" t="str">
        <f>IF(B193&lt;=0,"Positive","Negative")</f>
        <v>Negative</v>
      </c>
      <c r="E283" s="380"/>
      <c r="F283" s="191">
        <f>INPUT!BM18</f>
        <v>-16.412485402193852</v>
      </c>
      <c r="G283" s="191">
        <f>INPUT!BN18</f>
        <v>-8.999003956472734</v>
      </c>
      <c r="H283" s="191">
        <f>INPUT!BP18</f>
        <v>-0.077584609589393949</v>
      </c>
      <c r="I283" s="191">
        <f>INPUT!BO18</f>
        <v>0.20136282870134892</v>
      </c>
      <c r="J283" s="175">
        <f>INPUT!CP18</f>
        <v>105951615.21003078</v>
      </c>
      <c r="K283" s="191">
        <f>IF(D283="Positive","-",-(F283+G283+H283)/J283*10^6)</f>
        <v>0.24057277388106158</v>
      </c>
      <c r="L283" s="391" t="str">
        <f>IF(D283="Positive","-",IF(K283&lt;=$D$263,"OK","NG"))</f>
        <v>NG</v>
      </c>
      <c r="M283" s="4"/>
      <c r="N283" s="4"/>
    </row>
    <row r="284">
      <c r="C284" s="187">
        <f>A194</f>
        <v>101</v>
      </c>
      <c r="D284" s="174" t="str">
        <f>IF(B194&lt;=0,"Positive","Negative")</f>
        <v>Negative</v>
      </c>
      <c r="E284" s="380"/>
      <c r="F284" s="191">
        <f>INPUT!BM19</f>
        <v>-16.412485402193852</v>
      </c>
      <c r="G284" s="191">
        <f>INPUT!BN19</f>
        <v>-8.999003956472734</v>
      </c>
      <c r="H284" s="191">
        <f>INPUT!BP19</f>
        <v>-0.077584609589393949</v>
      </c>
      <c r="I284" s="191">
        <f>INPUT!BO19</f>
        <v>0.20136282870134892</v>
      </c>
      <c r="J284" s="175">
        <f>INPUT!CP19</f>
        <v>105951615.21003078</v>
      </c>
      <c r="K284" s="191">
        <f>IF(D284="Positive","-",-(F284+G284+H284)/J284*10^6)</f>
        <v>0.24057277388106158</v>
      </c>
      <c r="L284" s="391" t="str">
        <f>IF(D284="Positive","-",IF(K284&lt;=$D$263,"OK","NG"))</f>
        <v>NG</v>
      </c>
      <c r="M284" s="4"/>
      <c r="N284" s="4"/>
    </row>
    <row r="285">
      <c r="C285" s="187">
        <f>A195</f>
        <v>101</v>
      </c>
      <c r="D285" s="174" t="str">
        <f>IF(B195&lt;=0,"Positive","Negative")</f>
        <v>Negative</v>
      </c>
      <c r="E285" s="380"/>
      <c r="F285" s="191">
        <f>INPUT!BM20</f>
        <v>-16.412485402193852</v>
      </c>
      <c r="G285" s="191">
        <f>INPUT!BN20</f>
        <v>-8.999003956472734</v>
      </c>
      <c r="H285" s="191">
        <f>INPUT!BP20</f>
        <v>-0.077584609589393949</v>
      </c>
      <c r="I285" s="191">
        <f>INPUT!BO20</f>
        <v>0.20136282870134892</v>
      </c>
      <c r="J285" s="175">
        <f>INPUT!CP20</f>
        <v>105951615.21003078</v>
      </c>
      <c r="K285" s="191">
        <f>IF(D285="Positive","-",-(F285+G285+H285)/J285*10^6)</f>
        <v>0.24057277388106158</v>
      </c>
      <c r="L285" s="391" t="str">
        <f>IF(D285="Positive","-",IF(K285&lt;=$D$263,"OK","NG"))</f>
        <v>NG</v>
      </c>
      <c r="M285" s="4"/>
      <c r="N285" s="4"/>
    </row>
    <row r="286">
      <c r="C286" s="187">
        <f>A196</f>
        <v>101</v>
      </c>
      <c r="D286" s="174" t="str">
        <f>IF(B196&lt;=0,"Positive","Negative")</f>
        <v>Negative</v>
      </c>
      <c r="E286" s="380"/>
      <c r="F286" s="191">
        <f>INPUT!BM21</f>
        <v>-16.412485402193852</v>
      </c>
      <c r="G286" s="191">
        <f>INPUT!BN21</f>
        <v>-8.999003956472734</v>
      </c>
      <c r="H286" s="191">
        <f>INPUT!BP21</f>
        <v>-0.077584609589393949</v>
      </c>
      <c r="I286" s="191">
        <f>INPUT!BO21</f>
        <v>0.20136282870134892</v>
      </c>
      <c r="J286" s="175">
        <f>INPUT!CP21</f>
        <v>105951615.21003078</v>
      </c>
      <c r="K286" s="191">
        <f>IF(D286="Positive","-",-(F286+G286+H286)/J286*10^6)</f>
        <v>0.24057277388106158</v>
      </c>
      <c r="L286" s="391" t="str">
        <f>IF(D286="Positive","-",IF(K286&lt;=$D$263,"OK","NG"))</f>
        <v>NG</v>
      </c>
      <c r="M286" s="4"/>
      <c r="N286" s="4"/>
    </row>
    <row r="287">
      <c r="C287" s="187">
        <f>A197</f>
        <v>101</v>
      </c>
      <c r="D287" s="174" t="str">
        <f>IF(B197&lt;=0,"Positive","Negative")</f>
        <v>Negative</v>
      </c>
      <c r="E287" s="380"/>
      <c r="F287" s="191">
        <f>INPUT!BM22</f>
        <v>-16.412485402193852</v>
      </c>
      <c r="G287" s="191">
        <f>INPUT!BN22</f>
        <v>-8.999003956472734</v>
      </c>
      <c r="H287" s="191">
        <f>INPUT!BP22</f>
        <v>-0.077584609589393949</v>
      </c>
      <c r="I287" s="191">
        <f>INPUT!BO22</f>
        <v>0.20136282870134892</v>
      </c>
      <c r="J287" s="175">
        <f>INPUT!CP22</f>
        <v>105951615.21003078</v>
      </c>
      <c r="K287" s="191">
        <f>IF(D287="Positive","-",-(F287+G287+H287)/J287*10^6)</f>
        <v>0.24057277388106158</v>
      </c>
      <c r="L287" s="391" t="str">
        <f>IF(D287="Positive","-",IF(K287&lt;=$D$263,"OK","NG"))</f>
        <v>NG</v>
      </c>
      <c r="M287" s="4"/>
      <c r="N287" s="4"/>
    </row>
    <row r="288">
      <c r="C288" s="187">
        <f>A198</f>
        <v>101</v>
      </c>
      <c r="D288" s="174" t="str">
        <f>IF(B198&lt;=0,"Positive","Negative")</f>
        <v>Negative</v>
      </c>
      <c r="E288" s="380"/>
      <c r="F288" s="191">
        <f>INPUT!BM23</f>
        <v>-16.412485402193852</v>
      </c>
      <c r="G288" s="191">
        <f>INPUT!BN23</f>
        <v>-8.999003956472734</v>
      </c>
      <c r="H288" s="191">
        <f>INPUT!BP23</f>
        <v>-0.077584609589393949</v>
      </c>
      <c r="I288" s="191">
        <f>INPUT!BO23</f>
        <v>0.20136282870134892</v>
      </c>
      <c r="J288" s="175">
        <f>INPUT!CP23</f>
        <v>105951615.21003078</v>
      </c>
      <c r="K288" s="191">
        <f>IF(D288="Positive","-",-(F288+G288+H288)/J288*10^6)</f>
        <v>0.24057277388106158</v>
      </c>
      <c r="L288" s="391" t="str">
        <f>IF(D288="Positive","-",IF(K288&lt;=$D$263,"OK","NG"))</f>
        <v>NG</v>
      </c>
      <c r="M288" s="4"/>
      <c r="N288" s="4"/>
    </row>
    <row r="289">
      <c r="C289" s="187">
        <f>A199</f>
        <v>101</v>
      </c>
      <c r="D289" s="174" t="str">
        <f>IF(B199&lt;=0,"Positive","Negative")</f>
        <v>Negative</v>
      </c>
      <c r="E289" s="380"/>
      <c r="F289" s="191">
        <f>INPUT!BM24</f>
        <v>-16.412485402193852</v>
      </c>
      <c r="G289" s="191">
        <f>INPUT!BN24</f>
        <v>-8.999003956472734</v>
      </c>
      <c r="H289" s="191">
        <f>INPUT!BP24</f>
        <v>-0.077584609589393949</v>
      </c>
      <c r="I289" s="191">
        <f>INPUT!BO24</f>
        <v>0.20136282870134892</v>
      </c>
      <c r="J289" s="175">
        <f>INPUT!CP24</f>
        <v>105951615.21003078</v>
      </c>
      <c r="K289" s="191">
        <f>IF(D289="Positive","-",-(F289+G289+H289)/J289*10^6)</f>
        <v>0.24057277388106158</v>
      </c>
      <c r="L289" s="391" t="str">
        <f>IF(D289="Positive","-",IF(K289&lt;=$D$263,"OK","NG"))</f>
        <v>NG</v>
      </c>
      <c r="M289" s="4"/>
      <c r="N289" s="4"/>
    </row>
    <row r="290">
      <c r="C290" s="187">
        <f>A200</f>
        <v>101</v>
      </c>
      <c r="D290" s="174" t="str">
        <f>IF(B200&lt;=0,"Positive","Negative")</f>
        <v>Negative</v>
      </c>
      <c r="E290" s="380"/>
      <c r="F290" s="191">
        <f>INPUT!BM25</f>
        <v>-16.412485402193852</v>
      </c>
      <c r="G290" s="191">
        <f>INPUT!BN25</f>
        <v>-8.999003956472734</v>
      </c>
      <c r="H290" s="191">
        <f>INPUT!BP25</f>
        <v>-0.077584609589393949</v>
      </c>
      <c r="I290" s="191">
        <f>INPUT!BO25</f>
        <v>0.20136282870134892</v>
      </c>
      <c r="J290" s="175">
        <f>INPUT!CP25</f>
        <v>105951615.21003078</v>
      </c>
      <c r="K290" s="191">
        <f>IF(D290="Positive","-",-(F290+G290+H290)/J290*10^6)</f>
        <v>0.24057277388106158</v>
      </c>
      <c r="L290" s="391" t="str">
        <f>IF(D290="Positive","-",IF(K290&lt;=$D$263,"OK","NG"))</f>
        <v>NG</v>
      </c>
      <c r="M290" s="4"/>
      <c r="N290" s="4"/>
    </row>
    <row r="291">
      <c r="C291" s="187">
        <f>A201</f>
        <v>101</v>
      </c>
      <c r="D291" s="174" t="str">
        <f>IF(B201&lt;=0,"Positive","Negative")</f>
        <v>Negative</v>
      </c>
      <c r="E291" s="380"/>
      <c r="F291" s="191">
        <f>INPUT!BM26</f>
        <v>-16.412485402193852</v>
      </c>
      <c r="G291" s="191">
        <f>INPUT!BN26</f>
        <v>-8.999003956472734</v>
      </c>
      <c r="H291" s="191">
        <f>INPUT!BP26</f>
        <v>-0.077584609589393949</v>
      </c>
      <c r="I291" s="191">
        <f>INPUT!BO26</f>
        <v>0.20136282870134892</v>
      </c>
      <c r="J291" s="175">
        <f>INPUT!CP26</f>
        <v>105951615.21003078</v>
      </c>
      <c r="K291" s="191">
        <f>IF(D291="Positive","-",-(F291+G291+H291)/J291*10^6)</f>
        <v>0.24057277388106158</v>
      </c>
      <c r="L291" s="391" t="str">
        <f>IF(D291="Positive","-",IF(K291&lt;=$D$263,"OK","NG"))</f>
        <v>NG</v>
      </c>
      <c r="M291" s="4"/>
      <c r="N291" s="4"/>
    </row>
    <row r="292">
      <c r="C292" s="187">
        <f>A202</f>
        <v>101</v>
      </c>
      <c r="D292" s="174" t="str">
        <f>IF(B202&lt;=0,"Positive","Negative")</f>
        <v>Negative</v>
      </c>
      <c r="E292" s="380"/>
      <c r="F292" s="191">
        <f>INPUT!BM27</f>
        <v>-16.412485402193852</v>
      </c>
      <c r="G292" s="191">
        <f>INPUT!BN27</f>
        <v>-8.999003956472734</v>
      </c>
      <c r="H292" s="191">
        <f>INPUT!BP27</f>
        <v>-0.077584609589393949</v>
      </c>
      <c r="I292" s="191">
        <f>INPUT!BO27</f>
        <v>0.20136282870134892</v>
      </c>
      <c r="J292" s="175">
        <f>INPUT!CP27</f>
        <v>105951615.21003078</v>
      </c>
      <c r="K292" s="191">
        <f>IF(D292="Positive","-",-(F292+G292+H292)/J292*10^6)</f>
        <v>0.24057277388106158</v>
      </c>
      <c r="L292" s="391" t="str">
        <f>IF(D292="Positive","-",IF(K292&lt;=$D$263,"OK","NG"))</f>
        <v>NG</v>
      </c>
      <c r="M292" s="4"/>
      <c r="N292" s="4"/>
    </row>
    <row r="293">
      <c r="C293" s="187">
        <f>A203</f>
        <v>101</v>
      </c>
      <c r="D293" s="174" t="str">
        <f>IF(B203&lt;=0,"Positive","Negative")</f>
        <v>Negative</v>
      </c>
      <c r="E293" s="380"/>
      <c r="F293" s="191">
        <f>INPUT!BM28</f>
        <v>-16.412485402193852</v>
      </c>
      <c r="G293" s="191">
        <f>INPUT!BN28</f>
        <v>-8.999003956472734</v>
      </c>
      <c r="H293" s="191">
        <f>INPUT!BP28</f>
        <v>-0.077584609589393949</v>
      </c>
      <c r="I293" s="191">
        <f>INPUT!BO28</f>
        <v>0.20136282870134892</v>
      </c>
      <c r="J293" s="175">
        <f>INPUT!CP28</f>
        <v>105951615.21003078</v>
      </c>
      <c r="K293" s="191">
        <f>IF(D293="Positive","-",-(F293+G293+H293)/J293*10^6)</f>
        <v>0.24057277388106158</v>
      </c>
      <c r="L293" s="391" t="str">
        <f>IF(D293="Positive","-",IF(K293&lt;=$D$263,"OK","NG"))</f>
        <v>NG</v>
      </c>
      <c r="M293" s="4"/>
      <c r="N293" s="4"/>
    </row>
    <row r="294">
      <c r="C294" s="187">
        <f>A204</f>
        <v>101</v>
      </c>
      <c r="D294" s="174" t="str">
        <f>IF(B204&lt;=0,"Positive","Negative")</f>
        <v>Negative</v>
      </c>
      <c r="E294" s="380"/>
      <c r="F294" s="191">
        <f>INPUT!BM29</f>
        <v>-16.412485402193852</v>
      </c>
      <c r="G294" s="191">
        <f>INPUT!BN29</f>
        <v>-8.999003956472734</v>
      </c>
      <c r="H294" s="191">
        <f>INPUT!BP29</f>
        <v>-0.077584609589393949</v>
      </c>
      <c r="I294" s="191">
        <f>INPUT!BO29</f>
        <v>0.20136282870134892</v>
      </c>
      <c r="J294" s="175">
        <f>INPUT!CP29</f>
        <v>105951615.21003078</v>
      </c>
      <c r="K294" s="191">
        <f>IF(D294="Positive","-",-(F294+G294+H294)/J294*10^6)</f>
        <v>0.24057277388106158</v>
      </c>
      <c r="L294" s="391" t="str">
        <f>IF(D294="Positive","-",IF(K294&lt;=$D$263,"OK","NG"))</f>
        <v>NG</v>
      </c>
      <c r="M294" s="4"/>
      <c r="N294" s="4"/>
    </row>
    <row r="295">
      <c r="C295" s="187">
        <f>A205</f>
        <v>101</v>
      </c>
      <c r="D295" s="174" t="str">
        <f>IF(B205&lt;=0,"Positive","Negative")</f>
        <v>Negative</v>
      </c>
      <c r="E295" s="380"/>
      <c r="F295" s="191">
        <f>INPUT!BM30</f>
        <v>-16.412485402193852</v>
      </c>
      <c r="G295" s="191">
        <f>INPUT!BN30</f>
        <v>-8.999003956472734</v>
      </c>
      <c r="H295" s="191">
        <f>INPUT!BP30</f>
        <v>-0.077584609589393949</v>
      </c>
      <c r="I295" s="191">
        <f>INPUT!BO30</f>
        <v>0.20136282870134892</v>
      </c>
      <c r="J295" s="175">
        <f>INPUT!CP30</f>
        <v>105951615.21003078</v>
      </c>
      <c r="K295" s="191">
        <f>IF(D295="Positive","-",-(F295+G295+H295)/J295*10^6)</f>
        <v>0.24057277388106158</v>
      </c>
      <c r="L295" s="391" t="str">
        <f>IF(D295="Positive","-",IF(K295&lt;=$D$263,"OK","NG"))</f>
        <v>NG</v>
      </c>
      <c r="M295" s="4"/>
      <c r="N295" s="4"/>
    </row>
    <row r="296">
      <c r="C296" s="187">
        <f>A206</f>
        <v>101</v>
      </c>
      <c r="D296" s="174" t="str">
        <f>IF(B206&lt;=0,"Positive","Negative")</f>
        <v>Negative</v>
      </c>
      <c r="E296" s="380"/>
      <c r="F296" s="191">
        <f>INPUT!BM31</f>
        <v>-16.412485402193852</v>
      </c>
      <c r="G296" s="191">
        <f>INPUT!BN31</f>
        <v>-8.999003956472734</v>
      </c>
      <c r="H296" s="191">
        <f>INPUT!BP31</f>
        <v>-0.077584609589393949</v>
      </c>
      <c r="I296" s="191">
        <f>INPUT!BO31</f>
        <v>0.20136282870134892</v>
      </c>
      <c r="J296" s="175">
        <f>INPUT!CP31</f>
        <v>105951615.21003078</v>
      </c>
      <c r="K296" s="191">
        <f>IF(D296="Positive","-",-(F296+G296+H296)/J296*10^6)</f>
        <v>0.24057277388106158</v>
      </c>
      <c r="L296" s="391" t="str">
        <f>IF(D296="Positive","-",IF(K296&lt;=$D$263,"OK","NG"))</f>
        <v>NG</v>
      </c>
      <c r="M296" s="4"/>
      <c r="N296" s="4"/>
    </row>
    <row r="297">
      <c r="C297" s="187">
        <f>A207</f>
        <v>101</v>
      </c>
      <c r="D297" s="174" t="str">
        <f>IF(B207&lt;=0,"Positive","Negative")</f>
        <v>Negative</v>
      </c>
      <c r="E297" s="380"/>
      <c r="F297" s="191">
        <f>INPUT!BM32</f>
        <v>-16.412485402193852</v>
      </c>
      <c r="G297" s="191">
        <f>INPUT!BN32</f>
        <v>-8.999003956472734</v>
      </c>
      <c r="H297" s="191">
        <f>INPUT!BP32</f>
        <v>-0.077584609589393949</v>
      </c>
      <c r="I297" s="191">
        <f>INPUT!BO32</f>
        <v>0.20136282870134892</v>
      </c>
      <c r="J297" s="175">
        <f>INPUT!CP32</f>
        <v>105951615.21003078</v>
      </c>
      <c r="K297" s="191">
        <f>IF(D297="Positive","-",-(F297+G297+H297)/J297*10^6)</f>
        <v>0.24057277388106158</v>
      </c>
      <c r="L297" s="391" t="str">
        <f>IF(D297="Positive","-",IF(K297&lt;=$D$263,"OK","NG"))</f>
        <v>NG</v>
      </c>
      <c r="M297" s="4"/>
      <c r="N297" s="4"/>
    </row>
    <row r="298">
      <c r="C298" s="187">
        <f>A208</f>
        <v>101</v>
      </c>
      <c r="D298" s="174" t="str">
        <f>IF(B208&lt;=0,"Positive","Negative")</f>
        <v>Negative</v>
      </c>
      <c r="E298" s="380"/>
      <c r="F298" s="191">
        <f>INPUT!BM33</f>
        <v>-16.412485402193852</v>
      </c>
      <c r="G298" s="191">
        <f>INPUT!BN33</f>
        <v>-8.999003956472734</v>
      </c>
      <c r="H298" s="191">
        <f>INPUT!BP33</f>
        <v>-0.077584609589393949</v>
      </c>
      <c r="I298" s="191">
        <f>INPUT!BO33</f>
        <v>0.20136282870134892</v>
      </c>
      <c r="J298" s="175">
        <f>INPUT!CP33</f>
        <v>105951615.21003078</v>
      </c>
      <c r="K298" s="191">
        <f>IF(D298="Positive","-",-(F298+G298+H298)/J298*10^6)</f>
        <v>0.24057277388106158</v>
      </c>
      <c r="L298" s="391" t="str">
        <f>IF(D298="Positive","-",IF(K298&lt;=$D$263,"OK","NG"))</f>
        <v>NG</v>
      </c>
      <c r="M298" s="4"/>
      <c r="N298" s="4"/>
    </row>
    <row r="299">
      <c r="C299" s="187">
        <f>A209</f>
        <v>101</v>
      </c>
      <c r="D299" s="174" t="str">
        <f>IF(B209&lt;=0,"Positive","Negative")</f>
        <v>Negative</v>
      </c>
      <c r="E299" s="380"/>
      <c r="F299" s="191">
        <f>INPUT!BM34</f>
        <v>-16.412485402193852</v>
      </c>
      <c r="G299" s="191">
        <f>INPUT!BN34</f>
        <v>-8.999003956472734</v>
      </c>
      <c r="H299" s="191">
        <f>INPUT!BP34</f>
        <v>-0.077584609589393949</v>
      </c>
      <c r="I299" s="191">
        <f>INPUT!BO34</f>
        <v>0.20136282870134892</v>
      </c>
      <c r="J299" s="175">
        <f>INPUT!CP34</f>
        <v>105951615.21003078</v>
      </c>
      <c r="K299" s="191">
        <f>IF(D299="Positive","-",-(F299+G299+H299)/J299*10^6)</f>
        <v>0.24057277388106158</v>
      </c>
      <c r="L299" s="391" t="str">
        <f>IF(D299="Positive","-",IF(K299&lt;=$D$263,"OK","NG"))</f>
        <v>NG</v>
      </c>
      <c r="M299" s="4"/>
      <c r="N299" s="4"/>
    </row>
    <row r="300">
      <c r="C300" s="187">
        <f>A210</f>
        <v>101</v>
      </c>
      <c r="D300" s="174" t="str">
        <f>IF(B210&lt;=0,"Positive","Negative")</f>
        <v>Negative</v>
      </c>
      <c r="E300" s="380"/>
      <c r="F300" s="191">
        <f>INPUT!BM35</f>
        <v>-16.412485402193852</v>
      </c>
      <c r="G300" s="191">
        <f>INPUT!BN35</f>
        <v>-8.999003956472734</v>
      </c>
      <c r="H300" s="191">
        <f>INPUT!BP35</f>
        <v>-0.077584609589393949</v>
      </c>
      <c r="I300" s="191">
        <f>INPUT!BO35</f>
        <v>0.20136282870134892</v>
      </c>
      <c r="J300" s="175">
        <f>INPUT!CP35</f>
        <v>105951615.21003078</v>
      </c>
      <c r="K300" s="191">
        <f>IF(D300="Positive","-",-(F300+G300+H300)/J300*10^6)</f>
        <v>0.24057277388106158</v>
      </c>
      <c r="L300" s="391" t="str">
        <f>IF(D300="Positive","-",IF(K300&lt;=$D$263,"OK","NG"))</f>
        <v>NG</v>
      </c>
      <c r="M300" s="4"/>
      <c r="N300" s="4"/>
    </row>
    <row r="301">
      <c r="C301" s="187">
        <f>A211</f>
        <v>101</v>
      </c>
      <c r="D301" s="174" t="str">
        <f>IF(B211&lt;=0,"Positive","Negative")</f>
        <v>Negative</v>
      </c>
      <c r="E301" s="380"/>
      <c r="F301" s="191">
        <f>INPUT!BM36</f>
        <v>-16.412485402193852</v>
      </c>
      <c r="G301" s="191">
        <f>INPUT!BN36</f>
        <v>-8.999003956472734</v>
      </c>
      <c r="H301" s="191">
        <f>INPUT!BP36</f>
        <v>-0.077584609589393949</v>
      </c>
      <c r="I301" s="191">
        <f>INPUT!BO36</f>
        <v>0.20136282870134892</v>
      </c>
      <c r="J301" s="175">
        <f>INPUT!CP36</f>
        <v>105951615.21003078</v>
      </c>
      <c r="K301" s="191">
        <f>IF(D301="Positive","-",-(F301+G301+H301)/J301*10^6)</f>
        <v>0.24057277388106158</v>
      </c>
      <c r="L301" s="391" t="str">
        <f>IF(D301="Positive","-",IF(K301&lt;=$D$263,"OK","NG"))</f>
        <v>NG</v>
      </c>
      <c r="M301" s="4"/>
      <c r="N301" s="4"/>
    </row>
    <row r="302">
      <c r="C302" s="187">
        <f>A212</f>
        <v>101</v>
      </c>
      <c r="D302" s="174" t="str">
        <f>IF(B212&lt;=0,"Positive","Negative")</f>
        <v>Negative</v>
      </c>
      <c r="E302" s="380"/>
      <c r="F302" s="191">
        <f>INPUT!BM37</f>
        <v>-16.412485402193852</v>
      </c>
      <c r="G302" s="191">
        <f>INPUT!BN37</f>
        <v>-8.999003956472734</v>
      </c>
      <c r="H302" s="191">
        <f>INPUT!BP37</f>
        <v>-0.077584609589393949</v>
      </c>
      <c r="I302" s="191">
        <f>INPUT!BO37</f>
        <v>0.20136282870134892</v>
      </c>
      <c r="J302" s="175">
        <f>INPUT!CP37</f>
        <v>105951615.21003078</v>
      </c>
      <c r="K302" s="191">
        <f>IF(D302="Positive","-",-(F302+G302+H302)/J302*10^6)</f>
        <v>0.24057277388106158</v>
      </c>
      <c r="L302" s="391" t="str">
        <f>IF(D302="Positive","-",IF(K302&lt;=$D$263,"OK","NG"))</f>
        <v>NG</v>
      </c>
      <c r="M302" s="4"/>
      <c r="N302" s="4"/>
    </row>
    <row r="303">
      <c r="C303" s="187">
        <f>A213</f>
        <v>101</v>
      </c>
      <c r="D303" s="174" t="str">
        <f>IF(B213&lt;=0,"Positive","Negative")</f>
        <v>Negative</v>
      </c>
      <c r="E303" s="380"/>
      <c r="F303" s="191">
        <f>INPUT!BM38</f>
        <v>-16.412485402193852</v>
      </c>
      <c r="G303" s="191">
        <f>INPUT!BN38</f>
        <v>-8.999003956472734</v>
      </c>
      <c r="H303" s="191">
        <f>INPUT!BP38</f>
        <v>-0.077584609589393949</v>
      </c>
      <c r="I303" s="191">
        <f>INPUT!BO38</f>
        <v>0.20136282870134892</v>
      </c>
      <c r="J303" s="175">
        <f>INPUT!CP38</f>
        <v>105951615.21003078</v>
      </c>
      <c r="K303" s="191">
        <f>IF(D303="Positive","-",-(F303+G303+H303)/J303*10^6)</f>
        <v>0.24057277388106158</v>
      </c>
      <c r="L303" s="391" t="str">
        <f>IF(D303="Positive","-",IF(K303&lt;=$D$263,"OK","NG"))</f>
        <v>NG</v>
      </c>
      <c r="M303" s="4"/>
      <c r="N303" s="4"/>
    </row>
    <row r="304">
      <c r="C304" s="187">
        <f>A214</f>
        <v>101</v>
      </c>
      <c r="D304" s="174" t="str">
        <f>IF(B214&lt;=0,"Positive","Negative")</f>
        <v>Negative</v>
      </c>
      <c r="E304" s="380"/>
      <c r="F304" s="191">
        <f>INPUT!BM39</f>
        <v>-16.412485402193852</v>
      </c>
      <c r="G304" s="191">
        <f>INPUT!BN39</f>
        <v>-8.999003956472734</v>
      </c>
      <c r="H304" s="191">
        <f>INPUT!BP39</f>
        <v>-0.077584609589393949</v>
      </c>
      <c r="I304" s="191">
        <f>INPUT!BO39</f>
        <v>0.20136282870134892</v>
      </c>
      <c r="J304" s="175">
        <f>INPUT!CP39</f>
        <v>105951615.21003078</v>
      </c>
      <c r="K304" s="191">
        <f>IF(D304="Positive","-",-(F304+G304+H304)/J304*10^6)</f>
        <v>0.24057277388106158</v>
      </c>
      <c r="L304" s="391" t="str">
        <f>IF(D304="Positive","-",IF(K304&lt;=$D$263,"OK","NG"))</f>
        <v>NG</v>
      </c>
      <c r="M304" s="4"/>
      <c r="N304" s="4"/>
    </row>
    <row r="305">
      <c r="C305" s="187">
        <f>A215</f>
        <v>101</v>
      </c>
      <c r="D305" s="174" t="str">
        <f>IF(B215&lt;=0,"Positive","Negative")</f>
        <v>Negative</v>
      </c>
      <c r="E305" s="380"/>
      <c r="F305" s="191">
        <f>INPUT!BM40</f>
        <v>-16.412485402193852</v>
      </c>
      <c r="G305" s="191">
        <f>INPUT!BN40</f>
        <v>-8.999003956472734</v>
      </c>
      <c r="H305" s="191">
        <f>INPUT!BP40</f>
        <v>-0.077584609589393949</v>
      </c>
      <c r="I305" s="191">
        <f>INPUT!BO40</f>
        <v>0.20136282870134892</v>
      </c>
      <c r="J305" s="175">
        <f>INPUT!CP40</f>
        <v>105951615.21003078</v>
      </c>
      <c r="K305" s="191">
        <f>IF(D305="Positive","-",-(F305+G305+H305)/J305*10^6)</f>
        <v>0.24057277388106158</v>
      </c>
      <c r="L305" s="391" t="str">
        <f>IF(D305="Positive","-",IF(K305&lt;=$D$263,"OK","NG"))</f>
        <v>NG</v>
      </c>
      <c r="M305" s="4"/>
      <c r="N305" s="4"/>
    </row>
    <row r="306">
      <c r="C306" s="187">
        <f>A216</f>
        <v>101</v>
      </c>
      <c r="D306" s="174" t="str">
        <f>IF(B216&lt;=0,"Positive","Negative")</f>
        <v>Negative</v>
      </c>
      <c r="E306" s="380"/>
      <c r="F306" s="191">
        <f>INPUT!BM41</f>
        <v>-16.412485402193852</v>
      </c>
      <c r="G306" s="191">
        <f>INPUT!BN41</f>
        <v>-8.999003956472734</v>
      </c>
      <c r="H306" s="191">
        <f>INPUT!BP41</f>
        <v>-0.077584609589393949</v>
      </c>
      <c r="I306" s="191">
        <f>INPUT!BO41</f>
        <v>0.20136282870134892</v>
      </c>
      <c r="J306" s="175">
        <f>INPUT!CP41</f>
        <v>105951615.21003078</v>
      </c>
      <c r="K306" s="191">
        <f>IF(D306="Positive","-",-(F306+G306+H306)/J306*10^6)</f>
        <v>0.24057277388106158</v>
      </c>
      <c r="L306" s="391" t="str">
        <f>IF(D306="Positive","-",IF(K306&lt;=$D$263,"OK","NG"))</f>
        <v>NG</v>
      </c>
      <c r="M306" s="4"/>
      <c r="N306" s="4"/>
    </row>
    <row r="307">
      <c r="C307" s="187">
        <f>A217</f>
        <v>101</v>
      </c>
      <c r="D307" s="174" t="str">
        <f>IF(B217&lt;=0,"Positive","Negative")</f>
        <v>Negative</v>
      </c>
      <c r="E307" s="380"/>
      <c r="F307" s="191">
        <f>INPUT!BM42</f>
        <v>-16.412485402193852</v>
      </c>
      <c r="G307" s="191">
        <f>INPUT!BN42</f>
        <v>-8.999003956472734</v>
      </c>
      <c r="H307" s="191">
        <f>INPUT!BP42</f>
        <v>-0.077584609589393949</v>
      </c>
      <c r="I307" s="191">
        <f>INPUT!BO42</f>
        <v>0.20136282870134892</v>
      </c>
      <c r="J307" s="175">
        <f>INPUT!CP42</f>
        <v>105951615.21003078</v>
      </c>
      <c r="K307" s="191">
        <f>IF(D307="Positive","-",-(F307+G307+H307)/J307*10^6)</f>
        <v>0.24057277388106158</v>
      </c>
      <c r="L307" s="391" t="str">
        <f>IF(D307="Positive","-",IF(K307&lt;=$D$263,"OK","NG"))</f>
        <v>NG</v>
      </c>
      <c r="M307" s="4"/>
      <c r="N307" s="4"/>
    </row>
    <row r="308">
      <c r="C308" s="187">
        <f>A218</f>
        <v>101</v>
      </c>
      <c r="D308" s="174" t="str">
        <f>IF(B218&lt;=0,"Positive","Negative")</f>
        <v>Negative</v>
      </c>
      <c r="E308" s="380"/>
      <c r="F308" s="191">
        <f>INPUT!BM43</f>
        <v>-16.412485402193852</v>
      </c>
      <c r="G308" s="191">
        <f>INPUT!BN43</f>
        <v>-8.999003956472734</v>
      </c>
      <c r="H308" s="191">
        <f>INPUT!BP43</f>
        <v>-0.077584609589393949</v>
      </c>
      <c r="I308" s="191">
        <f>INPUT!BO43</f>
        <v>0.20136282870134892</v>
      </c>
      <c r="J308" s="175">
        <f>INPUT!CP43</f>
        <v>105951615.21003078</v>
      </c>
      <c r="K308" s="191">
        <f>IF(D308="Positive","-",-(F308+G308+H308)/J308*10^6)</f>
        <v>0.24057277388106158</v>
      </c>
      <c r="L308" s="391" t="str">
        <f>IF(D308="Positive","-",IF(K308&lt;=$D$263,"OK","NG"))</f>
        <v>NG</v>
      </c>
      <c r="M308" s="4"/>
      <c r="N308" s="4"/>
    </row>
    <row r="309">
      <c r="C309" s="187">
        <f>A219</f>
        <v>101</v>
      </c>
      <c r="D309" s="174" t="str">
        <f>IF(B219&lt;=0,"Positive","Negative")</f>
        <v>Negative</v>
      </c>
      <c r="E309" s="380"/>
      <c r="F309" s="191">
        <f>INPUT!BM44</f>
        <v>-16.412485402193852</v>
      </c>
      <c r="G309" s="191">
        <f>INPUT!BN44</f>
        <v>-8.999003956472734</v>
      </c>
      <c r="H309" s="191">
        <f>INPUT!BP44</f>
        <v>-0.077584609589393949</v>
      </c>
      <c r="I309" s="191">
        <f>INPUT!BO44</f>
        <v>0.20136282870134892</v>
      </c>
      <c r="J309" s="175">
        <f>INPUT!CP44</f>
        <v>105951615.21003078</v>
      </c>
      <c r="K309" s="191">
        <f>IF(D309="Positive","-",-(F309+G309+H309)/J309*10^6)</f>
        <v>0.24057277388106158</v>
      </c>
      <c r="L309" s="391" t="str">
        <f>IF(D309="Positive","-",IF(K309&lt;=$D$263,"OK","NG"))</f>
        <v>NG</v>
      </c>
      <c r="M309" s="4"/>
      <c r="N309" s="4"/>
    </row>
    <row r="310">
      <c r="C310" s="187">
        <f>A220</f>
        <v>101</v>
      </c>
      <c r="D310" s="174" t="str">
        <f>IF(B220&lt;=0,"Positive","Negative")</f>
        <v>Negative</v>
      </c>
      <c r="E310" s="380"/>
      <c r="F310" s="191">
        <f>INPUT!BM45</f>
        <v>-16.412485402193852</v>
      </c>
      <c r="G310" s="191">
        <f>INPUT!BN45</f>
        <v>-8.999003956472734</v>
      </c>
      <c r="H310" s="191">
        <f>INPUT!BP45</f>
        <v>-0.077584609589393949</v>
      </c>
      <c r="I310" s="191">
        <f>INPUT!BO45</f>
        <v>0.20136282870134892</v>
      </c>
      <c r="J310" s="175">
        <f>INPUT!CP45</f>
        <v>105951615.21003078</v>
      </c>
      <c r="K310" s="191">
        <f>IF(D310="Positive","-",-(F310+G310+H310)/J310*10^6)</f>
        <v>0.24057277388106158</v>
      </c>
      <c r="L310" s="391" t="str">
        <f>IF(D310="Positive","-",IF(K310&lt;=$D$263,"OK","NG"))</f>
        <v>NG</v>
      </c>
      <c r="M310" s="4"/>
      <c r="N310" s="4"/>
    </row>
    <row r="311">
      <c r="C311" s="187">
        <f>A221</f>
        <v>101</v>
      </c>
      <c r="D311" s="174" t="str">
        <f>IF(B221&lt;=0,"Positive","Negative")</f>
        <v>Negative</v>
      </c>
      <c r="E311" s="380"/>
      <c r="F311" s="191">
        <f>INPUT!BM46</f>
        <v>-16.412485402193852</v>
      </c>
      <c r="G311" s="191">
        <f>INPUT!BN46</f>
        <v>-8.999003956472734</v>
      </c>
      <c r="H311" s="191">
        <f>INPUT!BP46</f>
        <v>-0.077584609589393949</v>
      </c>
      <c r="I311" s="191">
        <f>INPUT!BO46</f>
        <v>0.20136282870134892</v>
      </c>
      <c r="J311" s="175">
        <f>INPUT!CP46</f>
        <v>105951615.21003078</v>
      </c>
      <c r="K311" s="191">
        <f>IF(D311="Positive","-",-(F311+G311+H311)/J311*10^6)</f>
        <v>0.24057277388106158</v>
      </c>
      <c r="L311" s="391" t="str">
        <f>IF(D311="Positive","-",IF(K311&lt;=$D$263,"OK","NG"))</f>
        <v>NG</v>
      </c>
      <c r="M311" s="4"/>
      <c r="N311" s="4"/>
    </row>
    <row r="312">
      <c r="C312" s="187">
        <f>A222</f>
        <v>101</v>
      </c>
      <c r="D312" s="174" t="str">
        <f>IF(B222&lt;=0,"Positive","Negative")</f>
        <v>Negative</v>
      </c>
      <c r="E312" s="380"/>
      <c r="F312" s="191">
        <f>INPUT!BM47</f>
        <v>-16.412485402193852</v>
      </c>
      <c r="G312" s="191">
        <f>INPUT!BN47</f>
        <v>-8.999003956472734</v>
      </c>
      <c r="H312" s="191">
        <f>INPUT!BP47</f>
        <v>-0.077584609589393949</v>
      </c>
      <c r="I312" s="191">
        <f>INPUT!BO47</f>
        <v>0.20136282870134892</v>
      </c>
      <c r="J312" s="175">
        <f>INPUT!CP47</f>
        <v>105951615.21003078</v>
      </c>
      <c r="K312" s="191">
        <f>IF(D312="Positive","-",-(F312+G312+H312)/J312*10^6)</f>
        <v>0.24057277388106158</v>
      </c>
      <c r="L312" s="391" t="str">
        <f>IF(D312="Positive","-",IF(K312&lt;=$D$263,"OK","NG"))</f>
        <v>NG</v>
      </c>
      <c r="M312" s="4"/>
      <c r="N312" s="4"/>
    </row>
    <row r="313">
      <c r="C313" s="187">
        <f>A223</f>
        <v>101</v>
      </c>
      <c r="D313" s="174" t="str">
        <f>IF(B223&lt;=0,"Positive","Negative")</f>
        <v>Negative</v>
      </c>
      <c r="E313" s="380"/>
      <c r="F313" s="191">
        <f>INPUT!BM48</f>
        <v>-16.412485402193852</v>
      </c>
      <c r="G313" s="191">
        <f>INPUT!BN48</f>
        <v>-8.999003956472734</v>
      </c>
      <c r="H313" s="191">
        <f>INPUT!BP48</f>
        <v>-0.077584609589393949</v>
      </c>
      <c r="I313" s="191">
        <f>INPUT!BO48</f>
        <v>0.20136282870134892</v>
      </c>
      <c r="J313" s="175">
        <f>INPUT!CP48</f>
        <v>105951615.21003078</v>
      </c>
      <c r="K313" s="191">
        <f>IF(D313="Positive","-",-(F313+G313+H313)/J313*10^6)</f>
        <v>0.24057277388106158</v>
      </c>
      <c r="L313" s="391" t="str">
        <f>IF(D313="Positive","-",IF(K313&lt;=$D$263,"OK","NG"))</f>
        <v>NG</v>
      </c>
      <c r="M313" s="4"/>
      <c r="N313" s="4"/>
    </row>
    <row r="314">
      <c r="C314" s="187">
        <f>A224</f>
        <v>101</v>
      </c>
      <c r="D314" s="174" t="str">
        <f>IF(B224&lt;=0,"Positive","Negative")</f>
        <v>Negative</v>
      </c>
      <c r="E314" s="380"/>
      <c r="F314" s="191">
        <f>INPUT!BM49</f>
        <v>-16.412485402193852</v>
      </c>
      <c r="G314" s="191">
        <f>INPUT!BN49</f>
        <v>-8.999003956472734</v>
      </c>
      <c r="H314" s="191">
        <f>INPUT!BP49</f>
        <v>-0.077584609589393949</v>
      </c>
      <c r="I314" s="191">
        <f>INPUT!BO49</f>
        <v>0.20136282870134892</v>
      </c>
      <c r="J314" s="175">
        <f>INPUT!CP49</f>
        <v>105951615.21003078</v>
      </c>
      <c r="K314" s="191">
        <f>IF(D314="Positive","-",-(F314+G314+H314)/J314*10^6)</f>
        <v>0.24057277388106158</v>
      </c>
      <c r="L314" s="391" t="str">
        <f>IF(D314="Positive","-",IF(K314&lt;=$D$263,"OK","NG"))</f>
        <v>NG</v>
      </c>
      <c r="M314" s="4"/>
      <c r="N314" s="4"/>
    </row>
    <row r="315">
      <c r="C315" s="187">
        <f>A225</f>
        <v>101</v>
      </c>
      <c r="D315" s="174" t="str">
        <f>IF(B225&lt;=0,"Positive","Negative")</f>
        <v>Negative</v>
      </c>
      <c r="E315" s="380"/>
      <c r="F315" s="191">
        <f>INPUT!BM50</f>
        <v>-16.412485402193852</v>
      </c>
      <c r="G315" s="191">
        <f>INPUT!BN50</f>
        <v>-8.999003956472734</v>
      </c>
      <c r="H315" s="191">
        <f>INPUT!BP50</f>
        <v>-0.077584609589393949</v>
      </c>
      <c r="I315" s="191">
        <f>INPUT!BO50</f>
        <v>0.20136282870134892</v>
      </c>
      <c r="J315" s="175">
        <f>INPUT!CP50</f>
        <v>105951615.21003078</v>
      </c>
      <c r="K315" s="191">
        <f>IF(D315="Positive","-",-(F315+G315+H315)/J315*10^6)</f>
        <v>0.24057277388106158</v>
      </c>
      <c r="L315" s="391" t="str">
        <f>IF(D315="Positive","-",IF(K315&lt;=$D$263,"OK","NG"))</f>
        <v>NG</v>
      </c>
      <c r="M315" s="4"/>
      <c r="N315" s="4"/>
    </row>
    <row r="316">
      <c r="C316" s="187">
        <f>A226</f>
        <v>101</v>
      </c>
      <c r="D316" s="174" t="str">
        <f>IF(B226&lt;=0,"Positive","Negative")</f>
        <v>Negative</v>
      </c>
      <c r="E316" s="380"/>
      <c r="F316" s="191">
        <f>INPUT!BM51</f>
        <v>-16.412485402193852</v>
      </c>
      <c r="G316" s="191">
        <f>INPUT!BN51</f>
        <v>-8.999003956472734</v>
      </c>
      <c r="H316" s="191">
        <f>INPUT!BP51</f>
        <v>-0.077584609589393949</v>
      </c>
      <c r="I316" s="191">
        <f>INPUT!BO51</f>
        <v>0.20136282870134892</v>
      </c>
      <c r="J316" s="175">
        <f>INPUT!CP51</f>
        <v>105951615.21003078</v>
      </c>
      <c r="K316" s="191">
        <f>IF(D316="Positive","-",-(F316+G316+H316)/J316*10^6)</f>
        <v>0.24057277388106158</v>
      </c>
      <c r="L316" s="391" t="str">
        <f>IF(D316="Positive","-",IF(K316&lt;=$D$263,"OK","NG"))</f>
        <v>NG</v>
      </c>
      <c r="M316" s="4"/>
      <c r="N316" s="4"/>
    </row>
    <row r="317">
      <c r="C317" s="187">
        <f>A227</f>
        <v>101</v>
      </c>
      <c r="D317" s="174" t="str">
        <f>IF(B227&lt;=0,"Positive","Negative")</f>
        <v>Negative</v>
      </c>
      <c r="E317" s="380"/>
      <c r="F317" s="191">
        <f>INPUT!BM52</f>
        <v>-16.412485402193852</v>
      </c>
      <c r="G317" s="191">
        <f>INPUT!BN52</f>
        <v>-8.999003956472734</v>
      </c>
      <c r="H317" s="191">
        <f>INPUT!BP52</f>
        <v>-0.077584609589393949</v>
      </c>
      <c r="I317" s="191">
        <f>INPUT!BO52</f>
        <v>0.20136282870134892</v>
      </c>
      <c r="J317" s="175">
        <f>INPUT!CP52</f>
        <v>105951615.21003078</v>
      </c>
      <c r="K317" s="191">
        <f>IF(D317="Positive","-",-(F317+G317+H317)/J317*10^6)</f>
        <v>0.24057277388106158</v>
      </c>
      <c r="L317" s="391" t="str">
        <f>IF(D317="Positive","-",IF(K317&lt;=$D$263,"OK","NG"))</f>
        <v>NG</v>
      </c>
      <c r="M317" s="4"/>
      <c r="N317" s="4"/>
    </row>
    <row r="318">
      <c r="C318" s="187">
        <f>A228</f>
        <v>101</v>
      </c>
      <c r="D318" s="174" t="str">
        <f>IF(B228&lt;=0,"Positive","Negative")</f>
        <v>Negative</v>
      </c>
      <c r="E318" s="380"/>
      <c r="F318" s="191">
        <f>INPUT!BM53</f>
        <v>-16.412485402193852</v>
      </c>
      <c r="G318" s="191">
        <f>INPUT!BN53</f>
        <v>-8.999003956472734</v>
      </c>
      <c r="H318" s="191">
        <f>INPUT!BP53</f>
        <v>-0.077584609589393949</v>
      </c>
      <c r="I318" s="191">
        <f>INPUT!BO53</f>
        <v>0.20136282870134892</v>
      </c>
      <c r="J318" s="175">
        <f>INPUT!CP53</f>
        <v>105951615.21003078</v>
      </c>
      <c r="K318" s="191">
        <f>IF(D318="Positive","-",-(F318+G318+H318)/J318*10^6)</f>
        <v>0.24057277388106158</v>
      </c>
      <c r="L318" s="391" t="str">
        <f>IF(D318="Positive","-",IF(K318&lt;=$D$263,"OK","NG"))</f>
        <v>NG</v>
      </c>
      <c r="M318" s="4"/>
      <c r="N318" s="4"/>
    </row>
    <row r="319">
      <c r="C319" s="187">
        <f>A229</f>
        <v>101</v>
      </c>
      <c r="D319" s="174" t="str">
        <f>IF(B229&lt;=0,"Positive","Negative")</f>
        <v>Negative</v>
      </c>
      <c r="E319" s="380"/>
      <c r="F319" s="191">
        <f>INPUT!BM54</f>
        <v>-16.412485402193852</v>
      </c>
      <c r="G319" s="191">
        <f>INPUT!BN54</f>
        <v>-8.999003956472734</v>
      </c>
      <c r="H319" s="191">
        <f>INPUT!BP54</f>
        <v>-0.077584609589393949</v>
      </c>
      <c r="I319" s="191">
        <f>INPUT!BO54</f>
        <v>0.20136282870134892</v>
      </c>
      <c r="J319" s="175">
        <f>INPUT!CP54</f>
        <v>105951615.21003078</v>
      </c>
      <c r="K319" s="191">
        <f>IF(D319="Positive","-",-(F319+G319+H319)/J319*10^6)</f>
        <v>0.24057277388106158</v>
      </c>
      <c r="L319" s="391" t="str">
        <f>IF(D319="Positive","-",IF(K319&lt;=$D$263,"OK","NG"))</f>
        <v>NG</v>
      </c>
      <c r="M319" s="4"/>
      <c r="N319" s="4"/>
    </row>
    <row r="320">
      <c r="C320" s="187">
        <f>A230</f>
        <v>101</v>
      </c>
      <c r="D320" s="174" t="str">
        <f>IF(B230&lt;=0,"Positive","Negative")</f>
        <v>Negative</v>
      </c>
      <c r="E320" s="380"/>
      <c r="F320" s="191">
        <f>INPUT!BM55</f>
        <v>-16.412485402193852</v>
      </c>
      <c r="G320" s="191">
        <f>INPUT!BN55</f>
        <v>-8.999003956472734</v>
      </c>
      <c r="H320" s="191">
        <f>INPUT!BP55</f>
        <v>-0.077584609589393949</v>
      </c>
      <c r="I320" s="191">
        <f>INPUT!BO55</f>
        <v>0.20136282870134892</v>
      </c>
      <c r="J320" s="175">
        <f>INPUT!CP55</f>
        <v>105951615.21003078</v>
      </c>
      <c r="K320" s="191">
        <f>IF(D320="Positive","-",-(F320+G320+H320)/J320*10^6)</f>
        <v>0.24057277388106158</v>
      </c>
      <c r="L320" s="391" t="str">
        <f>IF(D320="Positive","-",IF(K320&lt;=$D$263,"OK","NG"))</f>
        <v>NG</v>
      </c>
      <c r="M320" s="4"/>
      <c r="N320" s="4"/>
    </row>
    <row r="321">
      <c r="C321" s="187">
        <f>A231</f>
        <v>101</v>
      </c>
      <c r="D321" s="174" t="str">
        <f>IF(B231&lt;=0,"Positive","Negative")</f>
        <v>Negative</v>
      </c>
      <c r="E321" s="380"/>
      <c r="F321" s="191">
        <f>INPUT!BM56</f>
        <v>-16.412485402193852</v>
      </c>
      <c r="G321" s="191">
        <f>INPUT!BN56</f>
        <v>-8.999003956472734</v>
      </c>
      <c r="H321" s="191">
        <f>INPUT!BP56</f>
        <v>-0.077584609589393949</v>
      </c>
      <c r="I321" s="191">
        <f>INPUT!BO56</f>
        <v>0.20136282870134892</v>
      </c>
      <c r="J321" s="175">
        <f>INPUT!CP56</f>
        <v>105951615.21003078</v>
      </c>
      <c r="K321" s="191">
        <f>IF(D321="Positive","-",-(F321+G321+H321)/J321*10^6)</f>
        <v>0.24057277388106158</v>
      </c>
      <c r="L321" s="391" t="str">
        <f>IF(D321="Positive","-",IF(K321&lt;=$D$263,"OK","NG"))</f>
        <v>NG</v>
      </c>
      <c r="M321" s="4"/>
      <c r="N321" s="4"/>
    </row>
    <row r="322">
      <c r="C322" s="187">
        <f>A232</f>
        <v>101</v>
      </c>
      <c r="D322" s="174" t="str">
        <f>IF(B232&lt;=0,"Positive","Negative")</f>
        <v>Negative</v>
      </c>
      <c r="E322" s="380"/>
      <c r="F322" s="191">
        <f>INPUT!BM57</f>
        <v>-16.412485402193852</v>
      </c>
      <c r="G322" s="191">
        <f>INPUT!BN57</f>
        <v>-8.999003956472734</v>
      </c>
      <c r="H322" s="191">
        <f>INPUT!BP57</f>
        <v>-0.077584609589393949</v>
      </c>
      <c r="I322" s="191">
        <f>INPUT!BO57</f>
        <v>0.20136282870134892</v>
      </c>
      <c r="J322" s="175">
        <f>INPUT!CP57</f>
        <v>105951615.21003078</v>
      </c>
      <c r="K322" s="191">
        <f>IF(D322="Positive","-",-(F322+G322+H322)/J322*10^6)</f>
        <v>0.24057277388106158</v>
      </c>
      <c r="L322" s="391" t="str">
        <f>IF(D322="Positive","-",IF(K322&lt;=$D$263,"OK","NG"))</f>
        <v>NG</v>
      </c>
      <c r="M322" s="4"/>
      <c r="N322" s="4"/>
    </row>
    <row r="323">
      <c r="C323" s="187">
        <f>A233</f>
        <v>101</v>
      </c>
      <c r="D323" s="174" t="str">
        <f>IF(B233&lt;=0,"Positive","Negative")</f>
        <v>Negative</v>
      </c>
      <c r="E323" s="380"/>
      <c r="F323" s="191">
        <f>INPUT!BM58</f>
        <v>-16.412485402193852</v>
      </c>
      <c r="G323" s="191">
        <f>INPUT!BN58</f>
        <v>-8.999003956472734</v>
      </c>
      <c r="H323" s="191">
        <f>INPUT!BP58</f>
        <v>-0.077584609589393949</v>
      </c>
      <c r="I323" s="191">
        <f>INPUT!BO58</f>
        <v>0.20136282870134892</v>
      </c>
      <c r="J323" s="175">
        <f>INPUT!CP58</f>
        <v>105951615.21003078</v>
      </c>
      <c r="K323" s="191">
        <f>IF(D323="Positive","-",-(F323+G323+H323)/J323*10^6)</f>
        <v>0.24057277388106158</v>
      </c>
      <c r="L323" s="391" t="str">
        <f>IF(D323="Positive","-",IF(K323&lt;=$D$263,"OK","NG"))</f>
        <v>NG</v>
      </c>
      <c r="M323" s="4"/>
      <c r="N323" s="4"/>
    </row>
    <row r="324">
      <c r="C324" s="187">
        <f>A234</f>
        <v>101</v>
      </c>
      <c r="D324" s="174" t="str">
        <f>IF(B234&lt;=0,"Positive","Negative")</f>
        <v>Negative</v>
      </c>
      <c r="E324" s="380"/>
      <c r="F324" s="191">
        <f>INPUT!BM59</f>
        <v>-16.412485402193852</v>
      </c>
      <c r="G324" s="191">
        <f>INPUT!BN59</f>
        <v>-8.999003956472734</v>
      </c>
      <c r="H324" s="191">
        <f>INPUT!BP59</f>
        <v>-0.077584609589393949</v>
      </c>
      <c r="I324" s="191">
        <f>INPUT!BO59</f>
        <v>0.20136282870134892</v>
      </c>
      <c r="J324" s="175">
        <f>INPUT!CP59</f>
        <v>105951615.21003078</v>
      </c>
      <c r="K324" s="191">
        <f>IF(D324="Positive","-",-(F324+G324+H324)/J324*10^6)</f>
        <v>0.24057277388106158</v>
      </c>
      <c r="L324" s="391" t="str">
        <f>IF(D324="Positive","-",IF(K324&lt;=$D$263,"OK","NG"))</f>
        <v>NG</v>
      </c>
      <c r="M324" s="4"/>
      <c r="N324" s="4"/>
    </row>
    <row r="325">
      <c r="C325" s="187">
        <f>A235</f>
        <v>101</v>
      </c>
      <c r="D325" s="174" t="str">
        <f>IF(B235&lt;=0,"Positive","Negative")</f>
        <v>Negative</v>
      </c>
      <c r="E325" s="380"/>
      <c r="F325" s="191">
        <f>INPUT!BM60</f>
        <v>-16.412485402193852</v>
      </c>
      <c r="G325" s="191">
        <f>INPUT!BN60</f>
        <v>-8.999003956472734</v>
      </c>
      <c r="H325" s="191">
        <f>INPUT!BP60</f>
        <v>-0.077584609589393949</v>
      </c>
      <c r="I325" s="191">
        <f>INPUT!BO60</f>
        <v>0.20136282870134892</v>
      </c>
      <c r="J325" s="175">
        <f>INPUT!CP60</f>
        <v>105951615.21003078</v>
      </c>
      <c r="K325" s="191">
        <f>IF(D325="Positive","-",-(F325+G325+H325)/J325*10^6)</f>
        <v>0.24057277388106158</v>
      </c>
      <c r="L325" s="391" t="str">
        <f>IF(D325="Positive","-",IF(K325&lt;=$D$263,"OK","NG"))</f>
        <v>NG</v>
      </c>
      <c r="M325" s="4"/>
      <c r="N325" s="4"/>
    </row>
    <row r="326">
      <c r="C326" s="187">
        <f>A236</f>
        <v>101</v>
      </c>
      <c r="D326" s="174" t="str">
        <f>IF(B236&lt;=0,"Positive","Negative")</f>
        <v>Negative</v>
      </c>
      <c r="E326" s="380"/>
      <c r="F326" s="191">
        <f>INPUT!BM61</f>
        <v>-16.412485402193852</v>
      </c>
      <c r="G326" s="191">
        <f>INPUT!BN61</f>
        <v>-8.999003956472734</v>
      </c>
      <c r="H326" s="191">
        <f>INPUT!BP61</f>
        <v>-0.077584609589393949</v>
      </c>
      <c r="I326" s="191">
        <f>INPUT!BO61</f>
        <v>0.20136282870134892</v>
      </c>
      <c r="J326" s="175">
        <f>INPUT!CP61</f>
        <v>105951615.21003078</v>
      </c>
      <c r="K326" s="191">
        <f>IF(D326="Positive","-",-(F326+G326+H326)/J326*10^6)</f>
        <v>0.24057277388106158</v>
      </c>
      <c r="L326" s="391" t="str">
        <f>IF(D326="Positive","-",IF(K326&lt;=$D$263,"OK","NG"))</f>
        <v>NG</v>
      </c>
      <c r="M326" s="4"/>
      <c r="N326" s="4"/>
    </row>
    <row r="327">
      <c r="C327" s="187">
        <f>A237</f>
        <v>101</v>
      </c>
      <c r="D327" s="174" t="str">
        <f>IF(B237&lt;=0,"Positive","Negative")</f>
        <v>Negative</v>
      </c>
      <c r="E327" s="380"/>
      <c r="F327" s="191">
        <f>INPUT!BM62</f>
        <v>-16.412485402193852</v>
      </c>
      <c r="G327" s="191">
        <f>INPUT!BN62</f>
        <v>-8.999003956472734</v>
      </c>
      <c r="H327" s="191">
        <f>INPUT!BP62</f>
        <v>-0.077584609589393949</v>
      </c>
      <c r="I327" s="191">
        <f>INPUT!BO62</f>
        <v>0.20136282870134892</v>
      </c>
      <c r="J327" s="175">
        <f>INPUT!CP62</f>
        <v>105951615.21003078</v>
      </c>
      <c r="K327" s="191">
        <f>IF(D327="Positive","-",-(F327+G327+H327)/J327*10^6)</f>
        <v>0.24057277388106158</v>
      </c>
      <c r="L327" s="391" t="str">
        <f>IF(D327="Positive","-",IF(K327&lt;=$D$263,"OK","NG"))</f>
        <v>NG</v>
      </c>
      <c r="M327" s="4"/>
      <c r="N327" s="4"/>
    </row>
    <row r="328">
      <c r="C328" s="187">
        <f>A238</f>
        <v>101</v>
      </c>
      <c r="D328" s="174" t="str">
        <f>IF(B238&lt;=0,"Positive","Negative")</f>
        <v>Negative</v>
      </c>
      <c r="E328" s="380"/>
      <c r="F328" s="191">
        <f>INPUT!BM63</f>
        <v>-16.412485402193852</v>
      </c>
      <c r="G328" s="191">
        <f>INPUT!BN63</f>
        <v>-8.999003956472734</v>
      </c>
      <c r="H328" s="191">
        <f>INPUT!BP63</f>
        <v>-0.077584609589393949</v>
      </c>
      <c r="I328" s="191">
        <f>INPUT!BO63</f>
        <v>0.20136282870134892</v>
      </c>
      <c r="J328" s="175">
        <f>INPUT!CP63</f>
        <v>105951615.21003078</v>
      </c>
      <c r="K328" s="191">
        <f>IF(D328="Positive","-",-(F328+G328+H328)/J328*10^6)</f>
        <v>0.24057277388106158</v>
      </c>
      <c r="L328" s="391" t="str">
        <f>IF(D328="Positive","-",IF(K328&lt;=$D$263,"OK","NG"))</f>
        <v>NG</v>
      </c>
      <c r="M328" s="4"/>
      <c r="N328" s="4"/>
    </row>
    <row r="329">
      <c r="C329" s="187">
        <f>A239</f>
        <v>101</v>
      </c>
      <c r="D329" s="174" t="str">
        <f>IF(B239&lt;=0,"Positive","Negative")</f>
        <v>Negative</v>
      </c>
      <c r="E329" s="380"/>
      <c r="F329" s="191">
        <f>INPUT!BM64</f>
        <v>-16.412485402193852</v>
      </c>
      <c r="G329" s="191">
        <f>INPUT!BN64</f>
        <v>-8.999003956472734</v>
      </c>
      <c r="H329" s="191">
        <f>INPUT!BP64</f>
        <v>-0.077584609589393949</v>
      </c>
      <c r="I329" s="191">
        <f>INPUT!BO64</f>
        <v>0.20136282870134892</v>
      </c>
      <c r="J329" s="175">
        <f>INPUT!CP64</f>
        <v>105951615.21003078</v>
      </c>
      <c r="K329" s="191">
        <f>IF(D329="Positive","-",-(F329+G329+H329)/J329*10^6)</f>
        <v>0.24057277388106158</v>
      </c>
      <c r="L329" s="391" t="str">
        <f>IF(D329="Positive","-",IF(K329&lt;=$D$263,"OK","NG"))</f>
        <v>NG</v>
      </c>
      <c r="M329" s="4"/>
      <c r="N329" s="4"/>
    </row>
    <row r="330">
      <c r="C330" s="187">
        <f>A240</f>
        <v>101</v>
      </c>
      <c r="D330" s="174" t="str">
        <f>IF(B240&lt;=0,"Positive","Negative")</f>
        <v>Negative</v>
      </c>
      <c r="E330" s="380"/>
      <c r="F330" s="191">
        <f>INPUT!BM65</f>
        <v>-16.412485402193852</v>
      </c>
      <c r="G330" s="191">
        <f>INPUT!BN65</f>
        <v>-8.999003956472734</v>
      </c>
      <c r="H330" s="191">
        <f>INPUT!BP65</f>
        <v>-0.077584609589393949</v>
      </c>
      <c r="I330" s="191">
        <f>INPUT!BO65</f>
        <v>0.20136282870134892</v>
      </c>
      <c r="J330" s="175">
        <f>INPUT!CP65</f>
        <v>105951615.21003078</v>
      </c>
      <c r="K330" s="191">
        <f>IF(D330="Positive","-",-(F330+G330+H330)/J330*10^6)</f>
        <v>0.24057277388106158</v>
      </c>
      <c r="L330" s="391" t="str">
        <f>IF(D330="Positive","-",IF(K330&lt;=$D$263,"OK","NG"))</f>
        <v>NG</v>
      </c>
      <c r="M330" s="4"/>
      <c r="N330" s="4"/>
    </row>
    <row r="331">
      <c r="C331" s="187">
        <f>A241</f>
        <v>101</v>
      </c>
      <c r="D331" s="174" t="str">
        <f>IF(B241&lt;=0,"Positive","Negative")</f>
        <v>Negative</v>
      </c>
      <c r="E331" s="380"/>
      <c r="F331" s="191">
        <f>INPUT!BM66</f>
        <v>-16.412485402193852</v>
      </c>
      <c r="G331" s="191">
        <f>INPUT!BN66</f>
        <v>-8.999003956472734</v>
      </c>
      <c r="H331" s="191">
        <f>INPUT!BP66</f>
        <v>-0.077584609589393949</v>
      </c>
      <c r="I331" s="191">
        <f>INPUT!BO66</f>
        <v>0.20136282870134892</v>
      </c>
      <c r="J331" s="175">
        <f>INPUT!CP66</f>
        <v>105951615.21003078</v>
      </c>
      <c r="K331" s="191">
        <f>IF(D331="Positive","-",-(F331+G331+H331)/J331*10^6)</f>
        <v>0.24057277388106158</v>
      </c>
      <c r="L331" s="391" t="str">
        <f>IF(D331="Positive","-",IF(K331&lt;=$D$263,"OK","NG"))</f>
        <v>NG</v>
      </c>
      <c r="M331" s="4"/>
      <c r="N331" s="4"/>
    </row>
    <row r="332">
      <c r="C332" s="187">
        <f>A242</f>
        <v>101</v>
      </c>
      <c r="D332" s="174" t="str">
        <f>IF(B242&lt;=0,"Positive","Negative")</f>
        <v>Negative</v>
      </c>
      <c r="E332" s="380"/>
      <c r="F332" s="191">
        <f>INPUT!BM67</f>
        <v>-16.412485402193852</v>
      </c>
      <c r="G332" s="191">
        <f>INPUT!BN67</f>
        <v>-8.999003956472734</v>
      </c>
      <c r="H332" s="191">
        <f>INPUT!BP67</f>
        <v>-0.077584609589393949</v>
      </c>
      <c r="I332" s="191">
        <f>INPUT!BO67</f>
        <v>0.20136282870134892</v>
      </c>
      <c r="J332" s="175">
        <f>INPUT!CP67</f>
        <v>105951615.21003078</v>
      </c>
      <c r="K332" s="191">
        <f>IF(D332="Positive","-",-(F332+G332+H332)/J332*10^6)</f>
        <v>0.24057277388106158</v>
      </c>
      <c r="L332" s="391" t="str">
        <f>IF(D332="Positive","-",IF(K332&lt;=$D$263,"OK","NG"))</f>
        <v>NG</v>
      </c>
      <c r="M332" s="4"/>
      <c r="N332" s="4"/>
    </row>
    <row r="333">
      <c r="C333" s="187">
        <f>A243</f>
        <v>101</v>
      </c>
      <c r="D333" s="174" t="str">
        <f>IF(B243&lt;=0,"Positive","Negative")</f>
        <v>Negative</v>
      </c>
      <c r="E333" s="380"/>
      <c r="F333" s="191">
        <f>INPUT!BM68</f>
        <v>-16.412485402193852</v>
      </c>
      <c r="G333" s="191">
        <f>INPUT!BN68</f>
        <v>-8.999003956472734</v>
      </c>
      <c r="H333" s="191">
        <f>INPUT!BP68</f>
        <v>-0.077584609589393949</v>
      </c>
      <c r="I333" s="191">
        <f>INPUT!BO68</f>
        <v>0.20136282870134892</v>
      </c>
      <c r="J333" s="175">
        <f>INPUT!CP68</f>
        <v>105951615.21003078</v>
      </c>
      <c r="K333" s="191">
        <f>IF(D333="Positive","-",-(F333+G333+H333)/J333*10^6)</f>
        <v>0.24057277388106158</v>
      </c>
      <c r="L333" s="391" t="str">
        <f>IF(D333="Positive","-",IF(K333&lt;=$D$263,"OK","NG"))</f>
        <v>NG</v>
      </c>
      <c r="M333" s="4"/>
      <c r="N333" s="4"/>
    </row>
    <row r="334">
      <c r="C334" s="187">
        <f>A244</f>
        <v>101</v>
      </c>
      <c r="D334" s="174" t="str">
        <f>IF(B244&lt;=0,"Positive","Negative")</f>
        <v>Negative</v>
      </c>
      <c r="E334" s="380"/>
      <c r="F334" s="191">
        <f>INPUT!BM69</f>
        <v>-16.412485402193852</v>
      </c>
      <c r="G334" s="191">
        <f>INPUT!BN69</f>
        <v>-8.999003956472734</v>
      </c>
      <c r="H334" s="191">
        <f>INPUT!BP69</f>
        <v>-0.077584609589393949</v>
      </c>
      <c r="I334" s="191">
        <f>INPUT!BO69</f>
        <v>0.20136282870134892</v>
      </c>
      <c r="J334" s="175">
        <f>INPUT!CP69</f>
        <v>105951615.21003078</v>
      </c>
      <c r="K334" s="191">
        <f>IF(D334="Positive","-",-(F334+G334+H334)/J334*10^6)</f>
        <v>0.24057277388106158</v>
      </c>
      <c r="L334" s="391" t="str">
        <f>IF(D334="Positive","-",IF(K334&lt;=$D$263,"OK","NG"))</f>
        <v>NG</v>
      </c>
      <c r="M334" s="4"/>
      <c r="N334" s="4"/>
    </row>
    <row r="335">
      <c r="C335" s="187">
        <f>A245</f>
        <v>101</v>
      </c>
      <c r="D335" s="174" t="str">
        <f>IF(B245&lt;=0,"Positive","Negative")</f>
        <v>Negative</v>
      </c>
      <c r="E335" s="380"/>
      <c r="F335" s="191">
        <f>INPUT!BM70</f>
        <v>-16.412485402193852</v>
      </c>
      <c r="G335" s="191">
        <f>INPUT!BN70</f>
        <v>-8.999003956472734</v>
      </c>
      <c r="H335" s="191">
        <f>INPUT!BP70</f>
        <v>-0.077584609589393949</v>
      </c>
      <c r="I335" s="191">
        <f>INPUT!BO70</f>
        <v>0.20136282870134892</v>
      </c>
      <c r="J335" s="175">
        <f>INPUT!CP70</f>
        <v>105951615.21003078</v>
      </c>
      <c r="K335" s="191">
        <f>IF(D335="Positive","-",-(F335+G335+H335)/J335*10^6)</f>
        <v>0.24057277388106158</v>
      </c>
      <c r="L335" s="391" t="str">
        <f>IF(D335="Positive","-",IF(K335&lt;=$D$263,"OK","NG"))</f>
        <v>NG</v>
      </c>
      <c r="M335" s="4"/>
      <c r="N335" s="4"/>
    </row>
    <row r="336">
      <c r="C336" s="187">
        <f>A246</f>
        <v>101</v>
      </c>
      <c r="D336" s="174" t="str">
        <f>IF(B246&lt;=0,"Positive","Negative")</f>
        <v>Negative</v>
      </c>
      <c r="E336" s="380"/>
      <c r="F336" s="191">
        <f>INPUT!BM71</f>
        <v>-16.412485402193852</v>
      </c>
      <c r="G336" s="191">
        <f>INPUT!BN71</f>
        <v>-8.999003956472734</v>
      </c>
      <c r="H336" s="191">
        <f>INPUT!BP71</f>
        <v>-0.077584609589393949</v>
      </c>
      <c r="I336" s="191">
        <f>INPUT!BO71</f>
        <v>0.20136282870134892</v>
      </c>
      <c r="J336" s="175">
        <f>INPUT!CP71</f>
        <v>105951615.21003078</v>
      </c>
      <c r="K336" s="191">
        <f>IF(D336="Positive","-",-(F336+G336+H336)/J336*10^6)</f>
        <v>0.24057277388106158</v>
      </c>
      <c r="L336" s="391" t="str">
        <f>IF(D336="Positive","-",IF(K336&lt;=$D$263,"OK","NG"))</f>
        <v>NG</v>
      </c>
      <c r="M336" s="4"/>
      <c r="N336" s="4"/>
    </row>
    <row r="337">
      <c r="C337" s="187">
        <f>A247</f>
        <v>101</v>
      </c>
      <c r="D337" s="174" t="str">
        <f>IF(B247&lt;=0,"Positive","Negative")</f>
        <v>Negative</v>
      </c>
      <c r="E337" s="380"/>
      <c r="F337" s="191">
        <f>INPUT!BM72</f>
        <v>-16.412485402193852</v>
      </c>
      <c r="G337" s="191">
        <f>INPUT!BN72</f>
        <v>-8.999003956472734</v>
      </c>
      <c r="H337" s="191">
        <f>INPUT!BP72</f>
        <v>-0.077584609589393949</v>
      </c>
      <c r="I337" s="191">
        <f>INPUT!BO72</f>
        <v>0.20136282870134892</v>
      </c>
      <c r="J337" s="175">
        <f>INPUT!CP72</f>
        <v>105951615.21003078</v>
      </c>
      <c r="K337" s="191">
        <f>IF(D337="Positive","-",-(F337+G337+H337)/J337*10^6)</f>
        <v>0.24057277388106158</v>
      </c>
      <c r="L337" s="391" t="str">
        <f>IF(D337="Positive","-",IF(K337&lt;=$D$263,"OK","NG"))</f>
        <v>NG</v>
      </c>
      <c r="M337" s="4"/>
      <c r="N337" s="4"/>
    </row>
    <row r="338">
      <c r="C338" s="187">
        <f>A248</f>
        <v>101</v>
      </c>
      <c r="D338" s="174" t="str">
        <f>IF(B248&lt;=0,"Positive","Negative")</f>
        <v>Negative</v>
      </c>
      <c r="E338" s="380"/>
      <c r="F338" s="191">
        <f>INPUT!BM73</f>
        <v>-16.412485402193852</v>
      </c>
      <c r="G338" s="191">
        <f>INPUT!BN73</f>
        <v>-8.999003956472734</v>
      </c>
      <c r="H338" s="191">
        <f>INPUT!BP73</f>
        <v>-0.077584609589393949</v>
      </c>
      <c r="I338" s="191">
        <f>INPUT!BO73</f>
        <v>0.20136282870134892</v>
      </c>
      <c r="J338" s="175">
        <f>INPUT!CP73</f>
        <v>105951615.21003078</v>
      </c>
      <c r="K338" s="191">
        <f>IF(D338="Positive","-",-(F338+G338+H338)/J338*10^6)</f>
        <v>0.24057277388106158</v>
      </c>
      <c r="L338" s="391" t="str">
        <f>IF(D338="Positive","-",IF(K338&lt;=$D$263,"OK","NG"))</f>
        <v>NG</v>
      </c>
      <c r="M338" s="4"/>
      <c r="N338" s="4"/>
    </row>
    <row r="339">
      <c r="C339" s="187">
        <f>A249</f>
        <v>101</v>
      </c>
      <c r="D339" s="174" t="str">
        <f>IF(B249&lt;=0,"Positive","Negative")</f>
        <v>Negative</v>
      </c>
      <c r="E339" s="380"/>
      <c r="F339" s="191">
        <f>INPUT!BM74</f>
        <v>-16.412485402193852</v>
      </c>
      <c r="G339" s="191">
        <f>INPUT!BN74</f>
        <v>-8.999003956472734</v>
      </c>
      <c r="H339" s="191">
        <f>INPUT!BP74</f>
        <v>-0.077584609589393949</v>
      </c>
      <c r="I339" s="191">
        <f>INPUT!BO74</f>
        <v>0.20136282870134892</v>
      </c>
      <c r="J339" s="175">
        <f>INPUT!CP74</f>
        <v>105951615.21003078</v>
      </c>
      <c r="K339" s="191">
        <f>IF(D339="Positive","-",-(F339+G339+H339)/J339*10^6)</f>
        <v>0.24057277388106158</v>
      </c>
      <c r="L339" s="391" t="str">
        <f>IF(D339="Positive","-",IF(K339&lt;=$D$263,"OK","NG"))</f>
        <v>NG</v>
      </c>
      <c r="M339" s="4"/>
      <c r="N339" s="4"/>
    </row>
    <row r="340">
      <c r="C340" s="187">
        <f>A250</f>
        <v>101</v>
      </c>
      <c r="D340" s="174" t="str">
        <f>IF(B250&lt;=0,"Positive","Negative")</f>
        <v>Negative</v>
      </c>
      <c r="E340" s="380"/>
      <c r="F340" s="191">
        <f>INPUT!BM75</f>
        <v>-16.412485402193852</v>
      </c>
      <c r="G340" s="191">
        <f>INPUT!BN75</f>
        <v>-8.999003956472734</v>
      </c>
      <c r="H340" s="191">
        <f>INPUT!BP75</f>
        <v>-0.077584609589393949</v>
      </c>
      <c r="I340" s="191">
        <f>INPUT!BO75</f>
        <v>0.20136282870134892</v>
      </c>
      <c r="J340" s="175">
        <f>INPUT!CP75</f>
        <v>105951615.21003078</v>
      </c>
      <c r="K340" s="191">
        <f>IF(D340="Positive","-",-(F340+G340+H340)/J340*10^6)</f>
        <v>0.24057277388106158</v>
      </c>
      <c r="L340" s="391" t="str">
        <f>IF(D340="Positive","-",IF(K340&lt;=$D$263,"OK","NG"))</f>
        <v>NG</v>
      </c>
      <c r="M340" s="4"/>
      <c r="N340" s="4"/>
    </row>
    <row r="341">
      <c r="C341" s="187">
        <f>A251</f>
        <v>101</v>
      </c>
      <c r="D341" s="174" t="str">
        <f>IF(B251&lt;=0,"Positive","Negative")</f>
        <v>Negative</v>
      </c>
      <c r="E341" s="380"/>
      <c r="F341" s="191">
        <f>INPUT!BM76</f>
        <v>-16.412485402193852</v>
      </c>
      <c r="G341" s="191">
        <f>INPUT!BN76</f>
        <v>-8.999003956472734</v>
      </c>
      <c r="H341" s="191">
        <f>INPUT!BP76</f>
        <v>-0.077584609589393949</v>
      </c>
      <c r="I341" s="191">
        <f>INPUT!BO76</f>
        <v>0.20136282870134892</v>
      </c>
      <c r="J341" s="175">
        <f>INPUT!CP76</f>
        <v>105951615.21003078</v>
      </c>
      <c r="K341" s="191">
        <f>IF(D341="Positive","-",-(F341+G341+H341)/J341*10^6)</f>
        <v>0.24057277388106158</v>
      </c>
      <c r="L341" s="391" t="str">
        <f>IF(D341="Positive","-",IF(K341&lt;=$D$263,"OK","NG"))</f>
        <v>NG</v>
      </c>
      <c r="M341" s="4"/>
      <c r="N341" s="4"/>
    </row>
    <row r="342">
      <c r="C342" s="187">
        <f>A252</f>
        <v>101</v>
      </c>
      <c r="D342" s="174" t="str">
        <f>IF(B252&lt;=0,"Positive","Negative")</f>
        <v>Negative</v>
      </c>
      <c r="E342" s="380"/>
      <c r="F342" s="191">
        <f>INPUT!BM77</f>
        <v>-16.412485402193852</v>
      </c>
      <c r="G342" s="191">
        <f>INPUT!BN77</f>
        <v>-8.999003956472734</v>
      </c>
      <c r="H342" s="191">
        <f>INPUT!BP77</f>
        <v>-0.077584609589393949</v>
      </c>
      <c r="I342" s="191">
        <f>INPUT!BO77</f>
        <v>0.20136282870134892</v>
      </c>
      <c r="J342" s="175">
        <f>INPUT!CP77</f>
        <v>105951615.21003078</v>
      </c>
      <c r="K342" s="191">
        <f>IF(D342="Positive","-",-(F342+G342+H342)/J342*10^6)</f>
        <v>0.24057277388106158</v>
      </c>
      <c r="L342" s="391" t="str">
        <f>IF(D342="Positive","-",IF(K342&lt;=$D$263,"OK","NG"))</f>
        <v>NG</v>
      </c>
      <c r="M342" s="4"/>
      <c r="N342" s="4"/>
    </row>
    <row r="343">
      <c r="C343" s="187">
        <f>A253</f>
        <v>101</v>
      </c>
      <c r="D343" s="174" t="str">
        <f>IF(B253&lt;=0,"Positive","Negative")</f>
        <v>Negative</v>
      </c>
      <c r="E343" s="380"/>
      <c r="F343" s="191">
        <f>INPUT!BM78</f>
        <v>-16.412485402193852</v>
      </c>
      <c r="G343" s="191">
        <f>INPUT!BN78</f>
        <v>-8.999003956472734</v>
      </c>
      <c r="H343" s="191">
        <f>INPUT!BP78</f>
        <v>-0.077584609589393949</v>
      </c>
      <c r="I343" s="191">
        <f>INPUT!BO78</f>
        <v>0.20136282870134892</v>
      </c>
      <c r="J343" s="175">
        <f>INPUT!CP78</f>
        <v>105951615.21003078</v>
      </c>
      <c r="K343" s="191">
        <f>IF(D343="Positive","-",-(F343+G343+H343)/J343*10^6)</f>
        <v>0.24057277388106158</v>
      </c>
      <c r="L343" s="391" t="str">
        <f>IF(D343="Positive","-",IF(K343&lt;=$D$263,"OK","NG"))</f>
        <v>NG</v>
      </c>
      <c r="M343" s="4"/>
      <c r="N343" s="4"/>
    </row>
  </sheetData>
  <mergeCells>
    <mergeCell ref="M40:N40"/>
    <mergeCell ref="K40:L40"/>
    <mergeCell ref="B40:C40"/>
    <mergeCell ref="F266:I266"/>
    <mergeCell ref="C261:C262"/>
    <mergeCell ref="C127:C128"/>
    <mergeCell ref="D127:D128"/>
    <mergeCell ref="F127:I128"/>
    <mergeCell ref="H134:I134"/>
    <mergeCell ref="B176:C176"/>
    <mergeCell ref="D170:D171"/>
    <mergeCell ref="C170:C171"/>
    <mergeCell ref="C172:C173"/>
    <mergeCell ref="D172:D173"/>
    <mergeCell ref="F172:F173"/>
  </mergeCells>
  <phoneticPr fontId="28" type="noConversion"/>
  <conditionalFormatting sqref="M42:N42">
    <cfRule type="containsText" dxfId="0" priority="3" operator="containsText" text="NG">
      <formula>NOT(ISERROR(SEARCH("NG",M42)))</formula>
    </cfRule>
  </conditionalFormatting>
  <conditionalFormatting sqref="M103">
    <cfRule type="containsText" dxfId="0" priority="2" operator="containsText" text="NG">
      <formula>NOT(ISERROR(SEARCH("NG",M103)))</formula>
    </cfRule>
  </conditionalFormatting>
  <conditionalFormatting sqref="L118">
    <cfRule type="containsText" dxfId="0" priority="1" operator="containsText" text="NG">
      <formula>NOT(ISERROR(SEARCH("NG",L118)))</formula>
    </cfRule>
  </conditionalFormatting>
  <pageMargins left="0.6" right="0.4" top="1" bottom="1" header="0.31496062992126" footer="0.4"/>
  <pageSetup paperSize="9" orientation="portrait"/>
  <headerFooter/>
  <rowBreaks count="5" manualBreakCount="5">
    <brk id="18" max="1048575" man="1"/>
    <brk id="119" max="1048575" man="1"/>
    <brk id="157" max="1048575" man="1"/>
    <brk id="174" max="1048575" man="1"/>
    <brk id="255" max="1048575" man="1"/>
  </rowBreaks>
  <colBreaks count="1" manualBreakCount="1">
    <brk id="15" max="16383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465-F7E1-46CE-AE8E-66F7F6A53EBF}">
  <dimension ref="A1:AP233"/>
  <sheetViews>
    <sheetView showGridLines="0" topLeftCell="A46" zoomScaleNormal="100" zoomScaleSheetLayoutView="100" workbookViewId="0">
      <selection activeCell="R16" sqref="R16"/>
    </sheetView>
  </sheetViews>
  <sheetFormatPr defaultRowHeight="15" customHeight="1"/>
  <cols>
    <col min="1" max="1" width="6.5703125" customWidth="1"/>
    <col min="2" max="2" width="6.5703125" customWidth="1"/>
    <col min="3" max="3" width="6.5703125" customWidth="1"/>
    <col min="4" max="4" width="6.5703125" customWidth="1"/>
    <col min="5" max="5" width="6.5703125" customWidth="1"/>
    <col min="6" max="6" width="6.5703125" customWidth="1"/>
    <col min="7" max="7" width="6.5703125" customWidth="1"/>
    <col min="8" max="8" width="6.5703125" customWidth="1"/>
    <col min="9" max="9" width="6.5703125" customWidth="1"/>
    <col min="10" max="10" width="6.5703125" customWidth="1"/>
    <col min="11" max="11" width="6.5703125" customWidth="1"/>
    <col min="12" max="12" width="6.5703125" customWidth="1"/>
    <col min="13" max="13" width="6.5703125" customWidth="1"/>
    <col min="14" max="14" width="6.5703125" customWidth="1" style="67"/>
    <col min="15" max="15" width="5.7109375" customWidth="1" style="305"/>
    <col min="16" max="16" width="9" customWidth="1" style="366"/>
  </cols>
  <sheetData>
    <row r="1" ht="1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372"/>
      <c r="M1" s="4"/>
      <c r="N1" s="64"/>
      <c r="O1" s="296"/>
    </row>
    <row r="2" ht="15" customHeight="1">
      <c r="A2" s="6"/>
      <c r="B2" s="7">
        <v>7</v>
      </c>
      <c r="C2" s="167" t="s">
        <v>134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296"/>
    </row>
    <row r="3" ht="15" customHeight="1">
      <c r="A3" s="8"/>
      <c r="B3" s="9"/>
      <c r="C3" s="9"/>
      <c r="D3" s="4"/>
      <c r="E3" s="4"/>
      <c r="F3" s="4"/>
      <c r="G3" s="4"/>
      <c r="H3" s="4"/>
      <c r="I3" s="4"/>
      <c r="J3" s="4"/>
      <c r="K3" s="4"/>
      <c r="L3" s="4"/>
      <c r="M3" s="4"/>
      <c r="N3" s="65"/>
      <c r="O3" s="383"/>
    </row>
    <row r="4" ht="15" customHeight="1">
      <c r="A4" s="10" t="s">
        <v>1061</v>
      </c>
      <c r="B4" s="4"/>
      <c r="C4" s="4"/>
      <c r="D4" s="4"/>
      <c r="E4" s="4"/>
      <c r="F4" s="4"/>
      <c r="G4" s="4"/>
      <c r="H4" s="4"/>
      <c r="I4" s="4"/>
      <c r="J4" s="4"/>
      <c r="K4" s="4"/>
      <c r="L4" s="372"/>
      <c r="M4" s="4"/>
      <c r="N4" s="65"/>
      <c r="O4" s="384"/>
    </row>
    <row r="5" ht="15" customHeight="1">
      <c r="A5" s="11"/>
      <c r="B5" s="4"/>
      <c r="C5" s="4"/>
      <c r="D5" s="4"/>
      <c r="E5" s="4"/>
      <c r="F5" s="12"/>
      <c r="G5" s="13"/>
      <c r="H5" s="4"/>
      <c r="I5" s="4"/>
      <c r="J5" s="4"/>
      <c r="K5" s="4"/>
      <c r="L5" s="372"/>
      <c r="M5" s="4"/>
      <c r="N5" s="65"/>
      <c r="O5" s="383"/>
    </row>
    <row r="6" ht="15" customHeight="1">
      <c r="A6" s="14"/>
      <c r="B6" s="15" t="s">
        <v>1062</v>
      </c>
      <c r="C6" s="16"/>
      <c r="D6" s="16"/>
      <c r="E6" s="16"/>
      <c r="F6" s="16"/>
      <c r="G6" s="16"/>
      <c r="H6" s="16"/>
      <c r="I6" s="16"/>
      <c r="J6" s="16"/>
      <c r="K6" s="16"/>
      <c r="L6" s="17"/>
      <c r="M6" s="4"/>
      <c r="N6" s="65"/>
      <c r="O6" s="383"/>
    </row>
    <row r="7" ht="15" customHeight="1">
      <c r="A7" s="14"/>
      <c r="B7" s="18"/>
      <c r="C7" s="4"/>
      <c r="D7" s="4"/>
      <c r="E7" s="4"/>
      <c r="F7" s="434" t="s">
        <v>1063</v>
      </c>
      <c r="G7" s="435"/>
      <c r="H7" s="4"/>
      <c r="I7" s="4"/>
      <c r="J7" s="4"/>
      <c r="K7" s="4"/>
      <c r="L7" s="20"/>
      <c r="M7" s="4"/>
      <c r="N7" s="68" t="s">
        <v>1064</v>
      </c>
    </row>
    <row r="8" ht="15" customHeight="1" s="366" customFormat="1">
      <c r="A8" s="14"/>
      <c r="B8" s="21"/>
      <c r="C8" s="394"/>
      <c r="D8" s="22"/>
      <c r="E8" s="22"/>
      <c r="F8" s="23"/>
      <c r="G8" s="22"/>
      <c r="H8" s="22"/>
      <c r="I8" s="22"/>
      <c r="J8" s="22"/>
      <c r="K8" s="22"/>
      <c r="L8" s="24"/>
      <c r="M8" s="4"/>
      <c r="N8" s="69"/>
      <c r="O8" s="305"/>
    </row>
    <row r="9" ht="15" customHeight="1" s="366" customFormat="1">
      <c r="A9" s="14"/>
      <c r="B9" s="25" t="s">
        <v>1065</v>
      </c>
      <c r="C9" s="4"/>
      <c r="D9" s="4"/>
      <c r="E9" s="4"/>
      <c r="F9" s="26"/>
      <c r="G9" s="4"/>
      <c r="H9" s="4"/>
      <c r="I9" s="4"/>
      <c r="J9" s="4"/>
      <c r="K9" s="4"/>
      <c r="L9" s="27"/>
      <c r="M9" s="4"/>
      <c r="N9" s="69"/>
      <c r="O9" s="305"/>
    </row>
    <row r="10" ht="15" customHeight="1" s="366" customFormat="1">
      <c r="A10" s="14"/>
      <c r="B10" s="28"/>
      <c r="C10" s="4"/>
      <c r="D10" s="4"/>
      <c r="E10" s="4"/>
      <c r="F10" s="436" t="s">
        <v>1066</v>
      </c>
      <c r="G10" s="4"/>
      <c r="H10" s="4"/>
      <c r="I10" s="4"/>
      <c r="J10" s="4"/>
      <c r="K10" s="4"/>
      <c r="L10" s="20"/>
      <c r="M10" s="4"/>
      <c r="N10" s="68" t="s">
        <v>1067</v>
      </c>
      <c r="O10" s="305"/>
    </row>
    <row r="11" ht="15" customHeight="1" s="366" customFormat="1">
      <c r="A11" s="14"/>
      <c r="B11" s="31"/>
      <c r="C11" s="394"/>
      <c r="D11" s="22"/>
      <c r="E11" s="22"/>
      <c r="F11" s="23"/>
      <c r="G11" s="22"/>
      <c r="H11" s="22"/>
      <c r="I11" s="22"/>
      <c r="J11" s="22"/>
      <c r="K11" s="22"/>
      <c r="L11" s="24"/>
      <c r="M11" s="4"/>
      <c r="N11" s="69"/>
      <c r="O11" s="305"/>
    </row>
    <row r="12" ht="15" customHeight="1" s="366" customForma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69"/>
      <c r="O12" s="305"/>
    </row>
    <row r="13" ht="15" customHeight="1" s="4" customFormat="1">
      <c r="K13" s="38"/>
      <c r="O13" s="296"/>
      <c r="X13" s="372"/>
      <c r="Z13" s="372"/>
      <c r="AB13" s="372"/>
      <c r="AF13" s="171"/>
      <c r="AI13" s="30"/>
    </row>
    <row r="14" ht="15" customHeight="1" s="4" customFormat="1">
      <c r="A14" s="39" t="s">
        <v>1068</v>
      </c>
      <c r="L14" s="372"/>
      <c r="M14" s="407"/>
      <c r="N14" s="68" t="s">
        <v>1064</v>
      </c>
      <c r="O14" s="296"/>
      <c r="X14" s="372"/>
      <c r="Z14" s="372"/>
      <c r="AP14" s="30"/>
    </row>
    <row r="15" ht="15" customHeight="1" s="4" customFormat="1">
      <c r="A15" s="14"/>
      <c r="B15" s="406"/>
      <c r="L15" s="372"/>
      <c r="O15" s="296"/>
      <c r="X15" s="372"/>
      <c r="Z15" s="372"/>
      <c r="AM15" s="171"/>
      <c r="AP15" s="30"/>
    </row>
    <row r="16" ht="20.1" customHeight="1" s="366" customFormat="1">
      <c r="A16" s="40"/>
      <c r="B16" s="19"/>
      <c r="C16" s="41"/>
      <c r="D16" s="42"/>
      <c r="E16" s="437" t="s">
        <v>1069</v>
      </c>
      <c r="F16" s="42"/>
      <c r="G16" s="44"/>
      <c r="H16" s="45"/>
      <c r="I16" s="4"/>
      <c r="J16" s="4"/>
      <c r="K16" s="4"/>
      <c r="L16" s="372"/>
      <c r="M16" s="4"/>
      <c r="N16" s="65"/>
      <c r="O16" s="383"/>
    </row>
    <row r="17" ht="15" customHeight="1" s="4" customFormat="1">
      <c r="B17" s="11"/>
      <c r="C17" s="408"/>
      <c r="D17" s="30"/>
      <c r="G17" s="38"/>
      <c r="L17" s="372"/>
      <c r="O17" s="296"/>
      <c r="P17" s="407"/>
      <c r="X17" s="372"/>
      <c r="Z17" s="372"/>
      <c r="AM17" s="171"/>
      <c r="AP17" s="30"/>
    </row>
    <row r="18" ht="15" customHeight="1" s="4" customFormat="1">
      <c r="B18" s="373" t="s">
        <v>171</v>
      </c>
      <c r="C18" s="19"/>
      <c r="D18" s="30"/>
      <c r="G18" s="38"/>
      <c r="L18" s="372"/>
      <c r="O18" s="296"/>
      <c r="P18" s="407"/>
      <c r="X18" s="372"/>
      <c r="Z18" s="372"/>
      <c r="AM18" s="171"/>
      <c r="AP18" s="30"/>
    </row>
    <row r="19" ht="15" customHeight="1" s="4" customFormat="1">
      <c r="B19" s="12"/>
      <c r="C19" s="409" t="s">
        <v>1070</v>
      </c>
      <c r="D19" s="30" t="s">
        <v>173</v>
      </c>
      <c r="E19" s="373">
        <v>0.75</v>
      </c>
      <c r="F19" s="38" t="s">
        <v>1071</v>
      </c>
      <c r="O19" s="296"/>
      <c r="P19" s="407"/>
      <c r="X19" s="372"/>
      <c r="Z19" s="372"/>
      <c r="AM19" s="171"/>
      <c r="AP19" s="30"/>
    </row>
    <row r="20" ht="15" customHeight="1" s="4" customFormat="1">
      <c r="B20" s="12"/>
      <c r="C20" s="374" t="s">
        <v>1072</v>
      </c>
      <c r="D20" s="30" t="s">
        <v>173</v>
      </c>
      <c r="E20" s="38" t="s">
        <v>1073</v>
      </c>
      <c r="L20" s="372"/>
      <c r="O20" s="296"/>
      <c r="P20" s="407"/>
      <c r="X20" s="372"/>
      <c r="Z20" s="372"/>
      <c r="AM20" s="171"/>
      <c r="AP20" s="30"/>
    </row>
    <row r="21" ht="15" customHeight="1" s="4" customFormat="1">
      <c r="B21" s="12"/>
      <c r="C21" s="374" t="s">
        <v>1074</v>
      </c>
      <c r="D21" s="30" t="s">
        <v>173</v>
      </c>
      <c r="E21" s="38" t="s">
        <v>1075</v>
      </c>
      <c r="L21" s="372"/>
      <c r="O21" s="296"/>
      <c r="P21" s="407"/>
      <c r="X21" s="372"/>
      <c r="Z21" s="372"/>
      <c r="AM21" s="171"/>
      <c r="AP21" s="30"/>
    </row>
    <row r="22" ht="15" customHeight="1" s="4" customFormat="1">
      <c r="B22" s="373" t="s">
        <v>1076</v>
      </c>
      <c r="C22" s="374"/>
      <c r="D22" s="30"/>
      <c r="E22" s="30"/>
      <c r="G22" s="38"/>
      <c r="L22" s="372"/>
      <c r="N22" s="68" t="s">
        <v>1077</v>
      </c>
      <c r="O22" s="296"/>
      <c r="X22" s="372"/>
      <c r="Z22" s="372"/>
      <c r="AM22" s="171"/>
      <c r="AP22" s="30"/>
    </row>
    <row r="23" ht="15" customHeight="1" s="4" customFormat="1">
      <c r="B23" s="12"/>
      <c r="C23" s="374" t="s">
        <v>1074</v>
      </c>
      <c r="D23" s="30" t="s">
        <v>173</v>
      </c>
      <c r="E23" s="38" t="s">
        <v>1078</v>
      </c>
      <c r="H23" s="372" t="s">
        <v>1079</v>
      </c>
      <c r="J23" s="4" t="s">
        <v>1080</v>
      </c>
      <c r="L23" s="372"/>
      <c r="O23" s="296"/>
      <c r="X23" s="372"/>
      <c r="Z23" s="372"/>
      <c r="AA23" s="407"/>
      <c r="AM23" s="171"/>
      <c r="AP23" s="30"/>
    </row>
    <row r="24" ht="15" customHeight="1" s="4" customFormat="1">
      <c r="B24" s="12"/>
      <c r="C24" s="374"/>
      <c r="D24" s="30" t="s">
        <v>173</v>
      </c>
      <c r="E24" s="38" t="s">
        <v>1081</v>
      </c>
      <c r="H24" s="372" t="s">
        <v>1079</v>
      </c>
      <c r="J24" s="4" t="s">
        <v>1082</v>
      </c>
      <c r="L24" s="372"/>
      <c r="O24" s="296"/>
      <c r="X24" s="372"/>
      <c r="Z24" s="372"/>
      <c r="AA24" s="407"/>
      <c r="AM24" s="171"/>
      <c r="AP24" s="30"/>
    </row>
    <row r="25" ht="15" customHeight="1" s="4" customFormat="1">
      <c r="B25" s="12"/>
      <c r="C25" s="374"/>
      <c r="D25" s="30" t="s">
        <v>173</v>
      </c>
      <c r="E25" s="374" t="s">
        <v>1083</v>
      </c>
      <c r="H25" s="372" t="s">
        <v>1079</v>
      </c>
      <c r="J25" s="4" t="s">
        <v>1084</v>
      </c>
      <c r="L25" s="372"/>
      <c r="O25" s="296"/>
      <c r="X25" s="372"/>
      <c r="Z25" s="372"/>
      <c r="AA25" s="407"/>
      <c r="AM25" s="171"/>
      <c r="AP25" s="30"/>
    </row>
    <row r="26" ht="15" customHeight="1" s="4" customFormat="1">
      <c r="B26" s="12"/>
      <c r="C26" s="374"/>
      <c r="D26" s="30"/>
      <c r="E26" s="30"/>
      <c r="G26" s="38"/>
      <c r="L26" s="372"/>
      <c r="O26" s="296"/>
      <c r="X26" s="372"/>
      <c r="Z26" s="372"/>
      <c r="AA26" s="407"/>
      <c r="AM26" s="171"/>
      <c r="AP26" s="30"/>
    </row>
    <row r="27" ht="15" customHeight="1" s="4" customFormat="1">
      <c r="C27" s="373" t="s">
        <v>171</v>
      </c>
      <c r="D27" s="30"/>
      <c r="E27" s="30"/>
      <c r="G27" s="38"/>
      <c r="L27" s="372"/>
      <c r="O27" s="296"/>
      <c r="X27" s="372"/>
      <c r="Z27" s="372"/>
      <c r="AA27" s="407"/>
      <c r="AM27" s="171"/>
      <c r="AP27" s="30"/>
    </row>
    <row r="28" ht="15" customHeight="1" s="4" customFormat="1">
      <c r="B28" s="373"/>
      <c r="D28" s="30"/>
      <c r="E28" s="4" t="s">
        <v>1085</v>
      </c>
      <c r="G28" s="30" t="s">
        <v>173</v>
      </c>
      <c r="H28" s="38" t="s">
        <v>1086</v>
      </c>
      <c r="K28" s="30" t="s">
        <v>173</v>
      </c>
      <c r="L28" s="681">
        <f>365*100*H29*H30</f>
        <v>0</v>
      </c>
      <c r="M28" s="681"/>
      <c r="O28" s="308"/>
      <c r="X28" s="372"/>
      <c r="Z28" s="372"/>
      <c r="AA28" s="407"/>
      <c r="AM28" s="171"/>
      <c r="AP28" s="30"/>
    </row>
    <row r="29" ht="15" customHeight="1" s="4" customFormat="1">
      <c r="B29" s="373"/>
      <c r="C29" s="374"/>
      <c r="D29" s="30"/>
      <c r="E29" s="38" t="s">
        <v>877</v>
      </c>
      <c r="G29" s="30" t="s">
        <v>173</v>
      </c>
      <c r="H29" s="54">
        <v>1</v>
      </c>
      <c r="O29" s="296"/>
      <c r="X29" s="372"/>
      <c r="Z29" s="372"/>
      <c r="AA29" s="407"/>
      <c r="AM29" s="171"/>
      <c r="AP29" s="30"/>
    </row>
    <row r="30" ht="15" customHeight="1" s="4" customFormat="1">
      <c r="B30" s="373"/>
      <c r="C30" s="374"/>
      <c r="D30" s="30"/>
      <c r="E30" s="38" t="s">
        <v>1087</v>
      </c>
      <c r="G30" s="30" t="s">
        <v>173</v>
      </c>
      <c r="H30" s="410">
        <f>INPUT!B8</f>
        <v>0</v>
      </c>
      <c r="I30" s="4" t="s">
        <v>1088</v>
      </c>
      <c r="L30" s="372"/>
      <c r="O30" s="296"/>
      <c r="X30" s="372"/>
      <c r="Z30" s="372"/>
      <c r="AA30" s="407"/>
      <c r="AM30" s="171"/>
      <c r="AP30" s="30"/>
    </row>
    <row r="31" ht="15" customHeight="1" s="4" customFormat="1">
      <c r="B31" s="373"/>
      <c r="C31" s="374"/>
      <c r="D31" s="30"/>
      <c r="E31" s="38" t="s">
        <v>1089</v>
      </c>
      <c r="G31" s="30" t="s">
        <v>173</v>
      </c>
      <c r="H31" s="411" t="s">
        <v>1090</v>
      </c>
      <c r="I31" s="38"/>
      <c r="K31" s="412"/>
      <c r="O31" s="296"/>
      <c r="X31" s="372"/>
      <c r="Z31" s="372"/>
      <c r="AA31" s="407"/>
      <c r="AM31" s="171"/>
      <c r="AP31" s="30"/>
    </row>
    <row r="32" ht="15" customHeight="1" s="4" customFormat="1">
      <c r="B32" s="373"/>
      <c r="C32" s="374"/>
      <c r="D32" s="30"/>
      <c r="E32" s="38" t="s">
        <v>1091</v>
      </c>
      <c r="G32" s="30" t="s">
        <v>173</v>
      </c>
      <c r="H32" s="411" t="s">
        <v>1092</v>
      </c>
      <c r="I32" s="38"/>
      <c r="K32" s="412"/>
      <c r="O32" s="296"/>
      <c r="X32" s="372"/>
      <c r="Z32" s="372"/>
      <c r="AA32" s="407"/>
      <c r="AM32" s="171"/>
      <c r="AP32" s="30"/>
    </row>
    <row r="33" ht="15" customHeight="1" s="4" customFormat="1">
      <c r="B33" s="373"/>
      <c r="C33" s="374"/>
      <c r="D33" s="30"/>
      <c r="E33" s="38" t="s">
        <v>1093</v>
      </c>
      <c r="G33" s="30" t="s">
        <v>173</v>
      </c>
      <c r="H33" s="411" t="s">
        <v>1094</v>
      </c>
      <c r="I33" s="38"/>
      <c r="K33" s="412"/>
      <c r="O33" s="296"/>
      <c r="X33" s="372"/>
      <c r="Z33" s="372"/>
      <c r="AA33" s="407"/>
      <c r="AM33" s="171"/>
      <c r="AP33" s="30"/>
    </row>
    <row r="34" ht="15" customHeight="1" s="4" customFormat="1">
      <c r="B34" s="373"/>
      <c r="C34" s="374"/>
      <c r="D34" s="30"/>
      <c r="E34" s="38" t="s">
        <v>1095</v>
      </c>
      <c r="G34" s="30" t="s">
        <v>173</v>
      </c>
      <c r="H34" s="411" t="s">
        <v>1096</v>
      </c>
      <c r="I34" s="38"/>
      <c r="K34" s="412"/>
      <c r="O34" s="296"/>
      <c r="X34" s="372"/>
      <c r="Z34" s="372"/>
      <c r="AA34" s="407"/>
      <c r="AM34" s="171"/>
      <c r="AP34" s="30"/>
    </row>
    <row r="35" ht="15" customHeight="1" s="4" customFormat="1">
      <c r="B35" s="373"/>
      <c r="C35" s="374"/>
      <c r="D35" s="30"/>
      <c r="E35" s="30"/>
      <c r="G35" s="38"/>
      <c r="H35" s="30"/>
      <c r="J35" s="30"/>
      <c r="K35" s="38"/>
      <c r="L35" s="413"/>
      <c r="M35" s="414"/>
      <c r="O35" s="296"/>
      <c r="X35" s="372"/>
      <c r="Z35" s="372"/>
      <c r="AA35" s="407"/>
      <c r="AM35" s="171"/>
      <c r="AP35" s="30"/>
    </row>
    <row r="36" ht="15" customHeight="1" s="4" customFormat="1">
      <c r="A36" s="682" t="s">
        <v>1097</v>
      </c>
      <c r="B36" s="684" t="s">
        <v>1098</v>
      </c>
      <c r="C36" s="685"/>
      <c r="D36" s="685"/>
      <c r="E36" s="686"/>
      <c r="F36" s="415" t="s">
        <v>1099</v>
      </c>
      <c r="G36" s="416" t="s">
        <v>1100</v>
      </c>
      <c r="H36" s="417"/>
      <c r="I36" s="416" t="s">
        <v>1101</v>
      </c>
      <c r="J36" s="417"/>
      <c r="K36" s="415" t="s">
        <v>1102</v>
      </c>
      <c r="L36" s="415" t="s">
        <v>1083</v>
      </c>
      <c r="M36" s="418" t="s">
        <v>1074</v>
      </c>
      <c r="O36" s="296"/>
      <c r="V36" s="372"/>
      <c r="X36" s="372"/>
    </row>
    <row r="37" ht="15" customHeight="1" s="4" customFormat="1">
      <c r="A37" s="683"/>
      <c r="B37" s="687"/>
      <c r="C37" s="688"/>
      <c r="D37" s="688"/>
      <c r="E37" s="689"/>
      <c r="F37" s="419"/>
      <c r="G37" s="420"/>
      <c r="H37" s="421"/>
      <c r="I37" s="420"/>
      <c r="J37" s="421"/>
      <c r="K37" s="419"/>
      <c r="L37" s="419"/>
      <c r="M37" s="422"/>
      <c r="O37" s="296"/>
      <c r="V37" s="372"/>
      <c r="X37" s="372"/>
    </row>
    <row r="38" ht="15" customHeight="1" s="4" customFormat="1">
      <c r="A38" s="690">
        <v>1</v>
      </c>
      <c r="B38" s="619" t="s">
        <v>1103</v>
      </c>
      <c r="C38" s="620"/>
      <c r="D38" s="620"/>
      <c r="E38" s="621"/>
      <c r="F38" s="691" t="s">
        <v>1104</v>
      </c>
      <c r="G38" s="692">
        <v>2550000</v>
      </c>
      <c r="H38" s="693"/>
      <c r="I38" s="694">
        <v>81470000</v>
      </c>
      <c r="J38" s="695"/>
      <c r="K38" s="647">
        <v>82.7</v>
      </c>
      <c r="L38" s="647">
        <v>41.4</v>
      </c>
      <c r="M38" s="649" t="e">
        <f>IF($L$28&lt;=G38,(G38/$L$28)^(1/3)*K38,IF($L$28&lt;=I38,(G38/$L$28)^(1/5)*K38,L38))</f>
        <v>#DIV/0!</v>
      </c>
      <c r="O38" s="296"/>
      <c r="V38" s="372"/>
      <c r="X38" s="372"/>
    </row>
    <row r="39" ht="15" customHeight="1" s="4" customFormat="1">
      <c r="A39" s="675"/>
      <c r="B39" s="622"/>
      <c r="C39" s="623"/>
      <c r="D39" s="623"/>
      <c r="E39" s="624"/>
      <c r="F39" s="678"/>
      <c r="G39" s="679"/>
      <c r="H39" s="680"/>
      <c r="I39" s="696"/>
      <c r="J39" s="697"/>
      <c r="K39" s="648"/>
      <c r="L39" s="648"/>
      <c r="M39" s="650"/>
      <c r="O39" s="296"/>
      <c r="V39" s="372"/>
      <c r="X39" s="372"/>
    </row>
    <row r="40" ht="15" customHeight="1" s="4" customFormat="1">
      <c r="A40" s="665">
        <v>2</v>
      </c>
      <c r="B40" s="676" t="s">
        <v>1105</v>
      </c>
      <c r="C40" s="677"/>
      <c r="D40" s="677"/>
      <c r="E40" s="423"/>
      <c r="F40" s="667" t="str">
        <f>IF(E41&gt;=600,"B",IF(E41&gt;=150,"C",IF(E41&gt;=50,"D","E")))</f>
        <v>C</v>
      </c>
      <c r="G40" s="669">
        <f>IF(E41&gt;=600,2950000,IF(E41&gt;=150,4380000,IF(E41&gt;=50,6400000,12120000)))</f>
        <v>4380000</v>
      </c>
      <c r="H40" s="670"/>
      <c r="I40" s="669">
        <f>IF(E41&gt;=600,94490000,IF(E41&gt;=150,140270000,IF(E41&gt;=50,204760000,387770000)))</f>
        <v>140270000</v>
      </c>
      <c r="J40" s="670"/>
      <c r="K40" s="651">
        <f>IF(E41&gt;=600,110,IF(E41&gt;=150,69,IF(E41&gt;=50,48.3,31)))</f>
        <v>69</v>
      </c>
      <c r="L40" s="651">
        <f>IF(E41&gt;=600,55,IF(E41&gt;=150,34.5,IF(E41&gt;=50,24.2,15.5)))</f>
        <v>34.5</v>
      </c>
      <c r="M40" s="664" t="e">
        <f>IF($L$28&lt;=G40,(G40/$L$28)^(1/3)*K40,IF($L$28&lt;=I40,(G40/$L$28)^(1/5)*K40,L40))</f>
        <v>#DIV/0!</v>
      </c>
      <c r="O40" s="296"/>
      <c r="V40" s="372"/>
      <c r="X40" s="372"/>
    </row>
    <row r="41" ht="15" customHeight="1" s="4" customFormat="1">
      <c r="A41" s="675"/>
      <c r="B41" s="622"/>
      <c r="C41" s="623"/>
      <c r="D41" s="623"/>
      <c r="E41" s="424">
        <v>150</v>
      </c>
      <c r="F41" s="678"/>
      <c r="G41" s="679"/>
      <c r="H41" s="680"/>
      <c r="I41" s="679"/>
      <c r="J41" s="680"/>
      <c r="K41" s="648"/>
      <c r="L41" s="648"/>
      <c r="M41" s="650"/>
      <c r="O41" s="296"/>
      <c r="V41" s="372"/>
      <c r="X41" s="372"/>
    </row>
    <row r="42" ht="15" customHeight="1" s="4" customFormat="1">
      <c r="A42" s="665">
        <v>3</v>
      </c>
      <c r="B42" s="625" t="s">
        <v>1106</v>
      </c>
      <c r="C42" s="626"/>
      <c r="D42" s="626"/>
      <c r="E42" s="627"/>
      <c r="F42" s="667" t="s">
        <v>510</v>
      </c>
      <c r="G42" s="669">
        <v>4380000</v>
      </c>
      <c r="H42" s="670"/>
      <c r="I42" s="669">
        <v>140270000</v>
      </c>
      <c r="J42" s="670"/>
      <c r="K42" s="651">
        <v>69</v>
      </c>
      <c r="L42" s="651">
        <v>34.5</v>
      </c>
      <c r="M42" s="664" t="e">
        <f>IF($L$28&lt;=G42,(G42/$L$28)^(1/3)*K42,IF($L$28&lt;=I42,(G42/$L$28)^(1/5)*K42,L42))</f>
        <v>#DIV/0!</v>
      </c>
      <c r="O42" s="296"/>
      <c r="V42" s="372"/>
      <c r="X42" s="372"/>
    </row>
    <row r="43" ht="15" customHeight="1" s="4" customFormat="1">
      <c r="A43" s="666"/>
      <c r="B43" s="628"/>
      <c r="C43" s="629"/>
      <c r="D43" s="629"/>
      <c r="E43" s="630"/>
      <c r="F43" s="668"/>
      <c r="G43" s="671"/>
      <c r="H43" s="672"/>
      <c r="I43" s="671"/>
      <c r="J43" s="672"/>
      <c r="K43" s="673"/>
      <c r="L43" s="673"/>
      <c r="M43" s="674"/>
      <c r="O43" s="296"/>
      <c r="V43" s="372"/>
      <c r="X43" s="372"/>
    </row>
    <row r="44" hidden="1" ht="15" customHeight="1" s="4" customFormat="1">
      <c r="A44" s="631">
        <v>4</v>
      </c>
      <c r="B44" s="632"/>
      <c r="C44" s="635" t="s">
        <v>1107</v>
      </c>
      <c r="D44" s="522"/>
      <c r="E44" s="522"/>
      <c r="F44" s="522"/>
      <c r="G44" s="522"/>
      <c r="H44" s="522"/>
      <c r="I44" s="522"/>
      <c r="J44" s="636"/>
      <c r="K44" s="640" t="s">
        <v>1108</v>
      </c>
      <c r="L44" s="636"/>
      <c r="M44" s="641">
        <v>12120000</v>
      </c>
      <c r="N44" s="642"/>
      <c r="O44" s="643"/>
      <c r="T44" s="425"/>
      <c r="U44" s="426"/>
      <c r="V44" s="652">
        <v>15.5</v>
      </c>
      <c r="W44" s="653"/>
      <c r="X44" s="654"/>
      <c r="Y44" s="658" t="e">
        <f>IF($H$14&lt;=M44,(M44/$H$14)^(1/3)*S44,IF($H$14&lt;=P44,(M44/$H$14)^(1/5)*S44,V44))</f>
        <v>#DIV/0!</v>
      </c>
      <c r="Z44" s="659"/>
      <c r="AA44" s="660"/>
    </row>
    <row r="45" hidden="1" ht="15" customHeight="1" s="4" customFormat="1">
      <c r="A45" s="633"/>
      <c r="B45" s="634"/>
      <c r="C45" s="637"/>
      <c r="D45" s="638"/>
      <c r="E45" s="638"/>
      <c r="F45" s="638"/>
      <c r="G45" s="638"/>
      <c r="H45" s="638"/>
      <c r="I45" s="638"/>
      <c r="J45" s="639"/>
      <c r="K45" s="637"/>
      <c r="L45" s="639"/>
      <c r="M45" s="644"/>
      <c r="N45" s="645"/>
      <c r="O45" s="646"/>
      <c r="T45" s="427"/>
      <c r="U45" s="428"/>
      <c r="V45" s="655"/>
      <c r="W45" s="656"/>
      <c r="X45" s="657"/>
      <c r="Y45" s="661"/>
      <c r="Z45" s="662"/>
      <c r="AA45" s="663"/>
    </row>
    <row r="46" ht="15" customHeight="1" s="4" customFormat="1">
      <c r="B46" s="373"/>
      <c r="C46" s="374"/>
      <c r="D46" s="30"/>
      <c r="E46" s="30"/>
      <c r="G46" s="38"/>
      <c r="H46" s="30"/>
      <c r="J46" s="30"/>
      <c r="K46" s="38"/>
      <c r="L46" s="413"/>
      <c r="M46" s="414"/>
      <c r="O46" s="296"/>
      <c r="X46" s="372"/>
      <c r="Z46" s="372"/>
      <c r="AA46" s="407"/>
      <c r="AM46" s="171"/>
      <c r="AP46" s="30"/>
    </row>
    <row r="47" ht="15" customHeight="1" s="4" customFormat="1">
      <c r="A47" s="38" t="s">
        <v>1109</v>
      </c>
      <c r="D47" s="30"/>
      <c r="E47" s="30"/>
      <c r="G47" s="38"/>
      <c r="H47" s="30"/>
      <c r="J47" s="30"/>
      <c r="K47" s="38"/>
      <c r="L47" s="413"/>
      <c r="M47" s="414"/>
      <c r="O47" s="296"/>
      <c r="X47" s="372"/>
      <c r="Z47" s="372"/>
      <c r="AA47" s="407"/>
      <c r="AM47" s="171"/>
      <c r="AP47" s="30"/>
    </row>
    <row r="48" ht="15" customHeight="1" s="4" customFormat="1">
      <c r="A48" s="38" t="s">
        <v>1110</v>
      </c>
      <c r="D48" s="30"/>
      <c r="E48" s="30"/>
      <c r="G48" s="38"/>
      <c r="H48" s="30"/>
      <c r="J48" s="30"/>
      <c r="K48" s="38"/>
      <c r="L48" s="413"/>
      <c r="M48" s="414"/>
      <c r="O48" s="296"/>
      <c r="X48" s="372"/>
      <c r="Z48" s="372"/>
      <c r="AA48" s="407"/>
      <c r="AM48" s="171"/>
      <c r="AP48" s="30"/>
    </row>
    <row r="49" ht="15" customHeight="1" s="4" customFormat="1">
      <c r="A49" s="373" t="s">
        <v>1111</v>
      </c>
      <c r="C49" s="38"/>
      <c r="D49" s="30"/>
      <c r="E49" s="30"/>
      <c r="G49" s="38"/>
      <c r="H49" s="30"/>
      <c r="J49" s="30"/>
      <c r="K49" s="38"/>
      <c r="L49" s="413"/>
      <c r="M49" s="414"/>
      <c r="O49" s="296"/>
      <c r="X49" s="372"/>
      <c r="Z49" s="372"/>
      <c r="AA49" s="407"/>
      <c r="AM49" s="171"/>
      <c r="AP49" s="30"/>
    </row>
    <row r="50" ht="15" customHeight="1" s="4" customFormat="1">
      <c r="B50" s="373"/>
      <c r="C50" s="38"/>
      <c r="D50" s="30"/>
      <c r="E50" s="30"/>
      <c r="G50" s="38"/>
      <c r="H50" s="30"/>
      <c r="J50" s="30"/>
      <c r="K50" s="38"/>
      <c r="L50" s="413"/>
      <c r="M50" s="414"/>
      <c r="O50" s="296"/>
      <c r="X50" s="372"/>
      <c r="Z50" s="372"/>
      <c r="AA50" s="407"/>
      <c r="AM50" s="171"/>
      <c r="AP50" s="30"/>
    </row>
    <row r="51" ht="15" customHeight="1" s="4" customFormat="1">
      <c r="A51" s="59" t="s">
        <v>1112</v>
      </c>
      <c r="B51" s="372"/>
      <c r="L51" s="372"/>
      <c r="O51" s="296"/>
      <c r="X51" s="372"/>
      <c r="Z51" s="372"/>
      <c r="AM51" s="171"/>
      <c r="AP51" s="30"/>
    </row>
    <row r="52" ht="15" customHeight="1" s="4" customFormat="1">
      <c r="A52" s="335" t="s">
        <v>230</v>
      </c>
      <c r="B52" s="274" t="s">
        <v>1056</v>
      </c>
      <c r="C52" s="494" t="s">
        <v>1113</v>
      </c>
      <c r="D52" s="495"/>
      <c r="E52" s="494" t="s">
        <v>1114</v>
      </c>
      <c r="F52" s="495"/>
      <c r="G52" s="73" t="s">
        <v>1115</v>
      </c>
      <c r="H52" s="73" t="s">
        <v>1116</v>
      </c>
      <c r="I52" s="494" t="s">
        <v>246</v>
      </c>
      <c r="J52" s="498"/>
      <c r="K52" s="498"/>
      <c r="L52" s="498"/>
      <c r="M52" s="498"/>
      <c r="N52" s="537"/>
      <c r="O52" s="296"/>
    </row>
    <row r="53" ht="15" customHeight="1" s="4" customFormat="1">
      <c r="A53" s="337"/>
      <c r="B53" s="277" t="s">
        <v>250</v>
      </c>
      <c r="C53" s="277" t="s">
        <v>957</v>
      </c>
      <c r="D53" s="438" t="s">
        <v>960</v>
      </c>
      <c r="E53" s="277" t="s">
        <v>957</v>
      </c>
      <c r="F53" s="398" t="s">
        <v>960</v>
      </c>
      <c r="G53" s="76" t="s">
        <v>1117</v>
      </c>
      <c r="H53" s="76" t="s">
        <v>1117</v>
      </c>
      <c r="I53" s="439" t="s">
        <v>1118</v>
      </c>
      <c r="J53" s="439"/>
      <c r="K53" s="285" t="s">
        <v>1119</v>
      </c>
      <c r="L53" s="439"/>
      <c r="M53" s="285" t="s">
        <v>1120</v>
      </c>
      <c r="N53" s="440"/>
      <c r="O53" s="296"/>
    </row>
    <row r="54" ht="15" customHeight="1">
      <c r="A54" s="187">
        <f>INPUT!D3</f>
        <v>101</v>
      </c>
      <c r="B54" s="191" t="str">
        <f>IF(INPUT!AR3&lt;=0,"Positive","Negative")</f>
        <v>Negative</v>
      </c>
      <c r="C54" s="191">
        <f>INPUT!CQ3</f>
        <v>0.64323709751425051</v>
      </c>
      <c r="D54" s="343">
        <f>INPUT!CR3</f>
        <v>-0.60512543551277931</v>
      </c>
      <c r="E54" s="191">
        <f>INPUT!CS3</f>
        <v>0.000649453098666768</v>
      </c>
      <c r="F54" s="191">
        <f>INPUT!CT3</f>
        <v>0.00072819558301501176</v>
      </c>
      <c r="G54" s="442" t="str">
        <f>IF(OR(INPUT!E3="Exterior Support",INPUT!E3="Interior Support",INPUT!E3="Cross Beam"),"X","O")</f>
        <v>X</v>
      </c>
      <c r="H54" s="442" t="str">
        <f>IF(OR(INPUT!E3="",INPUT!E3="Section Changed"),"O","X")</f>
        <v>X</v>
      </c>
      <c r="I54" s="446" t="e">
        <f>IF(H54="X",IF(MAX(E54,F54)&lt;=$M$38,"OK","NG"),"-")</f>
        <v>#DIV/0!</v>
      </c>
      <c r="J54" s="443"/>
      <c r="K54" s="446" t="str">
        <f>IF(G54="O",IF(AND(C54&lt;0,ABS(C54)&gt;=2*E54),"검토 필요없음",IF(E54&lt;=$M$40,"OK","NG")),"-")</f>
        <v>-</v>
      </c>
      <c r="L54" s="444"/>
      <c r="M54" s="446" t="e">
        <f>IF(AND(C54&lt;0,ABS(C54)&gt;=2*E54),"검토 필요없음",IF(E54&lt;=$M$42,"OK","NG"))</f>
        <v>#DIV/0!</v>
      </c>
      <c r="N54" s="86"/>
      <c r="P54" s="4"/>
    </row>
    <row r="55">
      <c r="A55" s="187">
        <f>INPUT!D4</f>
        <v>101</v>
      </c>
      <c r="B55" s="191" t="str">
        <f>IF(INPUT!AR4&lt;=0,"Positive","Negative")</f>
        <v>Negative</v>
      </c>
      <c r="C55" s="191">
        <f>INPUT!CQ4</f>
        <v>0.64323709751425051</v>
      </c>
      <c r="D55" s="343">
        <f>INPUT!CR4</f>
        <v>-0.60512543551277931</v>
      </c>
      <c r="E55" s="191">
        <f>INPUT!CS4</f>
        <v>0.000649453098666768</v>
      </c>
      <c r="F55" s="191">
        <f>INPUT!CT4</f>
        <v>0.00072819558301501176</v>
      </c>
      <c r="G55" s="442" t="str">
        <f>IF(OR(INPUT!E4="Exterior Support",INPUT!E4="Interior Support",INPUT!E4="Cross Beam"),"X","O")</f>
        <v>X</v>
      </c>
      <c r="H55" s="442" t="str">
        <f>IF(OR(INPUT!E4="",INPUT!E4="Section Changed"),"O","X")</f>
        <v>X</v>
      </c>
      <c r="I55" s="446" t="e">
        <f>IF(H55="X",IF(MAX(E55,F55)&lt;=$M$38,"OK","NG"),"-")</f>
        <v>#DIV/0!</v>
      </c>
      <c r="J55" s="443"/>
      <c r="K55" s="446" t="str">
        <f>IF(G55="O",IF(AND(C55&lt;0,ABS(C55)&gt;=2*E55),"검토 필요없음",IF(E55&lt;=$M$40,"OK","NG")),"-")</f>
        <v>-</v>
      </c>
      <c r="L55" s="444"/>
      <c r="M55" s="446" t="e">
        <f>IF(AND(C55&lt;0,ABS(C55)&gt;=2*E55),"검토 필요없음",IF(E55&lt;=$M$42,"OK","NG"))</f>
        <v>#DIV/0!</v>
      </c>
      <c r="N55" s="86"/>
      <c r="P55" s="4"/>
    </row>
    <row r="56">
      <c r="A56" s="187">
        <f>INPUT!D5</f>
        <v>101</v>
      </c>
      <c r="B56" s="191" t="str">
        <f>IF(INPUT!AR5&lt;=0,"Positive","Negative")</f>
        <v>Negative</v>
      </c>
      <c r="C56" s="191">
        <f>INPUT!CQ5</f>
        <v>0.64323709751425051</v>
      </c>
      <c r="D56" s="343">
        <f>INPUT!CR5</f>
        <v>-0.60512543551277931</v>
      </c>
      <c r="E56" s="191">
        <f>INPUT!CS5</f>
        <v>0.000649453098666768</v>
      </c>
      <c r="F56" s="191">
        <f>INPUT!CT5</f>
        <v>0.00072819558301501176</v>
      </c>
      <c r="G56" s="442" t="str">
        <f>IF(OR(INPUT!E5="Exterior Support",INPUT!E5="Interior Support",INPUT!E5="Cross Beam"),"X","O")</f>
        <v>X</v>
      </c>
      <c r="H56" s="442" t="str">
        <f>IF(OR(INPUT!E5="",INPUT!E5="Section Changed"),"O","X")</f>
        <v>X</v>
      </c>
      <c r="I56" s="446" t="e">
        <f>IF(H56="X",IF(MAX(E56,F56)&lt;=$M$38,"OK","NG"),"-")</f>
        <v>#DIV/0!</v>
      </c>
      <c r="J56" s="443"/>
      <c r="K56" s="446" t="str">
        <f>IF(G56="O",IF(AND(C56&lt;0,ABS(C56)&gt;=2*E56),"검토 필요없음",IF(E56&lt;=$M$40,"OK","NG")),"-")</f>
        <v>-</v>
      </c>
      <c r="L56" s="444"/>
      <c r="M56" s="446" t="e">
        <f>IF(AND(C56&lt;0,ABS(C56)&gt;=2*E56),"검토 필요없음",IF(E56&lt;=$M$42,"OK","NG"))</f>
        <v>#DIV/0!</v>
      </c>
      <c r="N56" s="86"/>
      <c r="P56" s="4"/>
    </row>
    <row r="57">
      <c r="A57" s="187">
        <f>INPUT!D6</f>
        <v>101</v>
      </c>
      <c r="B57" s="191" t="str">
        <f>IF(INPUT!AR6&lt;=0,"Positive","Negative")</f>
        <v>Negative</v>
      </c>
      <c r="C57" s="191">
        <f>INPUT!CQ6</f>
        <v>0.64323709751425051</v>
      </c>
      <c r="D57" s="343">
        <f>INPUT!CR6</f>
        <v>-0.60512543551277931</v>
      </c>
      <c r="E57" s="191">
        <f>INPUT!CS6</f>
        <v>0.000649453098666768</v>
      </c>
      <c r="F57" s="191">
        <f>INPUT!CT6</f>
        <v>0.00072819558301501176</v>
      </c>
      <c r="G57" s="442" t="str">
        <f>IF(OR(INPUT!E6="Exterior Support",INPUT!E6="Interior Support",INPUT!E6="Cross Beam"),"X","O")</f>
        <v>X</v>
      </c>
      <c r="H57" s="442" t="str">
        <f>IF(OR(INPUT!E6="",INPUT!E6="Section Changed"),"O","X")</f>
        <v>X</v>
      </c>
      <c r="I57" s="446" t="e">
        <f>IF(H57="X",IF(MAX(E57,F57)&lt;=$M$38,"OK","NG"),"-")</f>
        <v>#DIV/0!</v>
      </c>
      <c r="J57" s="443"/>
      <c r="K57" s="446" t="str">
        <f>IF(G57="O",IF(AND(C57&lt;0,ABS(C57)&gt;=2*E57),"검토 필요없음",IF(E57&lt;=$M$40,"OK","NG")),"-")</f>
        <v>-</v>
      </c>
      <c r="L57" s="444"/>
      <c r="M57" s="446" t="e">
        <f>IF(AND(C57&lt;0,ABS(C57)&gt;=2*E57),"검토 필요없음",IF(E57&lt;=$M$42,"OK","NG"))</f>
        <v>#DIV/0!</v>
      </c>
      <c r="N57" s="86"/>
      <c r="P57" s="4"/>
    </row>
    <row r="58">
      <c r="A58" s="187">
        <f>INPUT!D7</f>
        <v>101</v>
      </c>
      <c r="B58" s="191" t="str">
        <f>IF(INPUT!AR7&lt;=0,"Positive","Negative")</f>
        <v>Negative</v>
      </c>
      <c r="C58" s="191">
        <f>INPUT!CQ7</f>
        <v>0.64323709751425051</v>
      </c>
      <c r="D58" s="343">
        <f>INPUT!CR7</f>
        <v>-0.60512543551277931</v>
      </c>
      <c r="E58" s="191">
        <f>INPUT!CS7</f>
        <v>0.000649453098666768</v>
      </c>
      <c r="F58" s="191">
        <f>INPUT!CT7</f>
        <v>0.00072819558301501176</v>
      </c>
      <c r="G58" s="442" t="str">
        <f>IF(OR(INPUT!E7="Exterior Support",INPUT!E7="Interior Support",INPUT!E7="Cross Beam"),"X","O")</f>
        <v>X</v>
      </c>
      <c r="H58" s="442" t="str">
        <f>IF(OR(INPUT!E7="",INPUT!E7="Section Changed"),"O","X")</f>
        <v>X</v>
      </c>
      <c r="I58" s="446" t="e">
        <f>IF(H58="X",IF(MAX(E58,F58)&lt;=$M$38,"OK","NG"),"-")</f>
        <v>#DIV/0!</v>
      </c>
      <c r="J58" s="443"/>
      <c r="K58" s="446" t="str">
        <f>IF(G58="O",IF(AND(C58&lt;0,ABS(C58)&gt;=2*E58),"검토 필요없음",IF(E58&lt;=$M$40,"OK","NG")),"-")</f>
        <v>-</v>
      </c>
      <c r="L58" s="444"/>
      <c r="M58" s="446" t="e">
        <f>IF(AND(C58&lt;0,ABS(C58)&gt;=2*E58),"검토 필요없음",IF(E58&lt;=$M$42,"OK","NG"))</f>
        <v>#DIV/0!</v>
      </c>
      <c r="N58" s="86"/>
      <c r="P58" s="4"/>
    </row>
    <row r="59">
      <c r="A59" s="187">
        <f>INPUT!D8</f>
        <v>101</v>
      </c>
      <c r="B59" s="191" t="str">
        <f>IF(INPUT!AR8&lt;=0,"Positive","Negative")</f>
        <v>Negative</v>
      </c>
      <c r="C59" s="191">
        <f>INPUT!CQ8</f>
        <v>0.64323709751425051</v>
      </c>
      <c r="D59" s="343">
        <f>INPUT!CR8</f>
        <v>-0.60512543551277931</v>
      </c>
      <c r="E59" s="191">
        <f>INPUT!CS8</f>
        <v>0.000649453098666768</v>
      </c>
      <c r="F59" s="191">
        <f>INPUT!CT8</f>
        <v>0.00072819558301501176</v>
      </c>
      <c r="G59" s="442" t="str">
        <f>IF(OR(INPUT!E8="Exterior Support",INPUT!E8="Interior Support",INPUT!E8="Cross Beam"),"X","O")</f>
        <v>X</v>
      </c>
      <c r="H59" s="442" t="str">
        <f>IF(OR(INPUT!E8="",INPUT!E8="Section Changed"),"O","X")</f>
        <v>X</v>
      </c>
      <c r="I59" s="446" t="e">
        <f>IF(H59="X",IF(MAX(E59,F59)&lt;=$M$38,"OK","NG"),"-")</f>
        <v>#DIV/0!</v>
      </c>
      <c r="J59" s="443"/>
      <c r="K59" s="446" t="str">
        <f>IF(G59="O",IF(AND(C59&lt;0,ABS(C59)&gt;=2*E59),"검토 필요없음",IF(E59&lt;=$M$40,"OK","NG")),"-")</f>
        <v>-</v>
      </c>
      <c r="L59" s="444"/>
      <c r="M59" s="446" t="e">
        <f>IF(AND(C59&lt;0,ABS(C59)&gt;=2*E59),"검토 필요없음",IF(E59&lt;=$M$42,"OK","NG"))</f>
        <v>#DIV/0!</v>
      </c>
      <c r="N59" s="86"/>
      <c r="P59" s="4"/>
    </row>
    <row r="60">
      <c r="A60" s="187">
        <f>INPUT!D9</f>
        <v>101</v>
      </c>
      <c r="B60" s="191" t="str">
        <f>IF(INPUT!AR9&lt;=0,"Positive","Negative")</f>
        <v>Negative</v>
      </c>
      <c r="C60" s="191">
        <f>INPUT!CQ9</f>
        <v>0.64323709751425051</v>
      </c>
      <c r="D60" s="343">
        <f>INPUT!CR9</f>
        <v>-0.60512543551277931</v>
      </c>
      <c r="E60" s="191">
        <f>INPUT!CS9</f>
        <v>0.000649453098666768</v>
      </c>
      <c r="F60" s="191">
        <f>INPUT!CT9</f>
        <v>0.00072819558301501176</v>
      </c>
      <c r="G60" s="442" t="str">
        <f>IF(OR(INPUT!E9="Exterior Support",INPUT!E9="Interior Support",INPUT!E9="Cross Beam"),"X","O")</f>
        <v>X</v>
      </c>
      <c r="H60" s="442" t="str">
        <f>IF(OR(INPUT!E9="",INPUT!E9="Section Changed"),"O","X")</f>
        <v>X</v>
      </c>
      <c r="I60" s="446" t="e">
        <f>IF(H60="X",IF(MAX(E60,F60)&lt;=$M$38,"OK","NG"),"-")</f>
        <v>#DIV/0!</v>
      </c>
      <c r="J60" s="443"/>
      <c r="K60" s="446" t="str">
        <f>IF(G60="O",IF(AND(C60&lt;0,ABS(C60)&gt;=2*E60),"검토 필요없음",IF(E60&lt;=$M$40,"OK","NG")),"-")</f>
        <v>-</v>
      </c>
      <c r="L60" s="444"/>
      <c r="M60" s="446" t="e">
        <f>IF(AND(C60&lt;0,ABS(C60)&gt;=2*E60),"검토 필요없음",IF(E60&lt;=$M$42,"OK","NG"))</f>
        <v>#DIV/0!</v>
      </c>
      <c r="N60" s="86"/>
      <c r="P60" s="4"/>
    </row>
    <row r="61">
      <c r="A61" s="187">
        <f>INPUT!D10</f>
        <v>101</v>
      </c>
      <c r="B61" s="191" t="str">
        <f>IF(INPUT!AR10&lt;=0,"Positive","Negative")</f>
        <v>Negative</v>
      </c>
      <c r="C61" s="191">
        <f>INPUT!CQ10</f>
        <v>0.64323709751425051</v>
      </c>
      <c r="D61" s="343">
        <f>INPUT!CR10</f>
        <v>-0.60512543551277931</v>
      </c>
      <c r="E61" s="191">
        <f>INPUT!CS10</f>
        <v>0.000649453098666768</v>
      </c>
      <c r="F61" s="191">
        <f>INPUT!CT10</f>
        <v>0.00072819558301501176</v>
      </c>
      <c r="G61" s="442" t="str">
        <f>IF(OR(INPUT!E10="Exterior Support",INPUT!E10="Interior Support",INPUT!E10="Cross Beam"),"X","O")</f>
        <v>X</v>
      </c>
      <c r="H61" s="442" t="str">
        <f>IF(OR(INPUT!E10="",INPUT!E10="Section Changed"),"O","X")</f>
        <v>X</v>
      </c>
      <c r="I61" s="446" t="e">
        <f>IF(H61="X",IF(MAX(E61,F61)&lt;=$M$38,"OK","NG"),"-")</f>
        <v>#DIV/0!</v>
      </c>
      <c r="J61" s="443"/>
      <c r="K61" s="446" t="str">
        <f>IF(G61="O",IF(AND(C61&lt;0,ABS(C61)&gt;=2*E61),"검토 필요없음",IF(E61&lt;=$M$40,"OK","NG")),"-")</f>
        <v>-</v>
      </c>
      <c r="L61" s="444"/>
      <c r="M61" s="446" t="e">
        <f>IF(AND(C61&lt;0,ABS(C61)&gt;=2*E61),"검토 필요없음",IF(E61&lt;=$M$42,"OK","NG"))</f>
        <v>#DIV/0!</v>
      </c>
      <c r="N61" s="86"/>
      <c r="P61" s="4"/>
    </row>
    <row r="62">
      <c r="A62" s="187">
        <f>INPUT!D11</f>
        <v>101</v>
      </c>
      <c r="B62" s="191" t="str">
        <f>IF(INPUT!AR11&lt;=0,"Positive","Negative")</f>
        <v>Negative</v>
      </c>
      <c r="C62" s="191">
        <f>INPUT!CQ11</f>
        <v>0.64323709751425051</v>
      </c>
      <c r="D62" s="343">
        <f>INPUT!CR11</f>
        <v>-0.60512543551277931</v>
      </c>
      <c r="E62" s="191">
        <f>INPUT!CS11</f>
        <v>0.000649453098666768</v>
      </c>
      <c r="F62" s="191">
        <f>INPUT!CT11</f>
        <v>0.00072819558301501176</v>
      </c>
      <c r="G62" s="442" t="str">
        <f>IF(OR(INPUT!E11="Exterior Support",INPUT!E11="Interior Support",INPUT!E11="Cross Beam"),"X","O")</f>
        <v>X</v>
      </c>
      <c r="H62" s="442" t="str">
        <f>IF(OR(INPUT!E11="",INPUT!E11="Section Changed"),"O","X")</f>
        <v>X</v>
      </c>
      <c r="I62" s="446" t="e">
        <f>IF(H62="X",IF(MAX(E62,F62)&lt;=$M$38,"OK","NG"),"-")</f>
        <v>#DIV/0!</v>
      </c>
      <c r="J62" s="443"/>
      <c r="K62" s="446" t="str">
        <f>IF(G62="O",IF(AND(C62&lt;0,ABS(C62)&gt;=2*E62),"검토 필요없음",IF(E62&lt;=$M$40,"OK","NG")),"-")</f>
        <v>-</v>
      </c>
      <c r="L62" s="444"/>
      <c r="M62" s="446" t="e">
        <f>IF(AND(C62&lt;0,ABS(C62)&gt;=2*E62),"검토 필요없음",IF(E62&lt;=$M$42,"OK","NG"))</f>
        <v>#DIV/0!</v>
      </c>
      <c r="N62" s="86"/>
      <c r="P62" s="4"/>
    </row>
    <row r="63">
      <c r="A63" s="187">
        <f>INPUT!D12</f>
        <v>101</v>
      </c>
      <c r="B63" s="191" t="str">
        <f>IF(INPUT!AR12&lt;=0,"Positive","Negative")</f>
        <v>Negative</v>
      </c>
      <c r="C63" s="191">
        <f>INPUT!CQ12</f>
        <v>0.64323709751425051</v>
      </c>
      <c r="D63" s="343">
        <f>INPUT!CR12</f>
        <v>-0.60512543551277931</v>
      </c>
      <c r="E63" s="191">
        <f>INPUT!CS12</f>
        <v>0.000649453098666768</v>
      </c>
      <c r="F63" s="191">
        <f>INPUT!CT12</f>
        <v>0.00072819558301501176</v>
      </c>
      <c r="G63" s="442" t="str">
        <f>IF(OR(INPUT!E12="Exterior Support",INPUT!E12="Interior Support",INPUT!E12="Cross Beam"),"X","O")</f>
        <v>X</v>
      </c>
      <c r="H63" s="442" t="str">
        <f>IF(OR(INPUT!E12="",INPUT!E12="Section Changed"),"O","X")</f>
        <v>X</v>
      </c>
      <c r="I63" s="446" t="e">
        <f>IF(H63="X",IF(MAX(E63,F63)&lt;=$M$38,"OK","NG"),"-")</f>
        <v>#DIV/0!</v>
      </c>
      <c r="J63" s="443"/>
      <c r="K63" s="446" t="str">
        <f>IF(G63="O",IF(AND(C63&lt;0,ABS(C63)&gt;=2*E63),"검토 필요없음",IF(E63&lt;=$M$40,"OK","NG")),"-")</f>
        <v>-</v>
      </c>
      <c r="L63" s="444"/>
      <c r="M63" s="446" t="e">
        <f>IF(AND(C63&lt;0,ABS(C63)&gt;=2*E63),"검토 필요없음",IF(E63&lt;=$M$42,"OK","NG"))</f>
        <v>#DIV/0!</v>
      </c>
      <c r="N63" s="86"/>
      <c r="P63" s="4"/>
    </row>
    <row r="64">
      <c r="A64" s="187">
        <f>INPUT!D13</f>
        <v>101</v>
      </c>
      <c r="B64" s="191" t="str">
        <f>IF(INPUT!AR13&lt;=0,"Positive","Negative")</f>
        <v>Negative</v>
      </c>
      <c r="C64" s="191">
        <f>INPUT!CQ13</f>
        <v>0.64323709751425051</v>
      </c>
      <c r="D64" s="343">
        <f>INPUT!CR13</f>
        <v>-0.60512543551277931</v>
      </c>
      <c r="E64" s="191">
        <f>INPUT!CS13</f>
        <v>0.000649453098666768</v>
      </c>
      <c r="F64" s="191">
        <f>INPUT!CT13</f>
        <v>0.00072819558301501176</v>
      </c>
      <c r="G64" s="442" t="str">
        <f>IF(OR(INPUT!E13="Exterior Support",INPUT!E13="Interior Support",INPUT!E13="Cross Beam"),"X","O")</f>
        <v>X</v>
      </c>
      <c r="H64" s="442" t="str">
        <f>IF(OR(INPUT!E13="",INPUT!E13="Section Changed"),"O","X")</f>
        <v>X</v>
      </c>
      <c r="I64" s="446" t="e">
        <f>IF(H64="X",IF(MAX(E64,F64)&lt;=$M$38,"OK","NG"),"-")</f>
        <v>#DIV/0!</v>
      </c>
      <c r="J64" s="443"/>
      <c r="K64" s="446" t="str">
        <f>IF(G64="O",IF(AND(C64&lt;0,ABS(C64)&gt;=2*E64),"검토 필요없음",IF(E64&lt;=$M$40,"OK","NG")),"-")</f>
        <v>-</v>
      </c>
      <c r="L64" s="444"/>
      <c r="M64" s="446" t="e">
        <f>IF(AND(C64&lt;0,ABS(C64)&gt;=2*E64),"검토 필요없음",IF(E64&lt;=$M$42,"OK","NG"))</f>
        <v>#DIV/0!</v>
      </c>
      <c r="N64" s="86"/>
      <c r="P64" s="4"/>
    </row>
    <row r="65">
      <c r="A65" s="187">
        <f>INPUT!D14</f>
        <v>101</v>
      </c>
      <c r="B65" s="191" t="str">
        <f>IF(INPUT!AR14&lt;=0,"Positive","Negative")</f>
        <v>Negative</v>
      </c>
      <c r="C65" s="191">
        <f>INPUT!CQ14</f>
        <v>0.64323709751425051</v>
      </c>
      <c r="D65" s="343">
        <f>INPUT!CR14</f>
        <v>-0.60512543551277931</v>
      </c>
      <c r="E65" s="191">
        <f>INPUT!CS14</f>
        <v>0.000649453098666768</v>
      </c>
      <c r="F65" s="191">
        <f>INPUT!CT14</f>
        <v>0.00072819558301501176</v>
      </c>
      <c r="G65" s="442" t="str">
        <f>IF(OR(INPUT!E14="Exterior Support",INPUT!E14="Interior Support",INPUT!E14="Cross Beam"),"X","O")</f>
        <v>X</v>
      </c>
      <c r="H65" s="442" t="str">
        <f>IF(OR(INPUT!E14="",INPUT!E14="Section Changed"),"O","X")</f>
        <v>X</v>
      </c>
      <c r="I65" s="446" t="e">
        <f>IF(H65="X",IF(MAX(E65,F65)&lt;=$M$38,"OK","NG"),"-")</f>
        <v>#DIV/0!</v>
      </c>
      <c r="J65" s="443"/>
      <c r="K65" s="446" t="str">
        <f>IF(G65="O",IF(AND(C65&lt;0,ABS(C65)&gt;=2*E65),"검토 필요없음",IF(E65&lt;=$M$40,"OK","NG")),"-")</f>
        <v>-</v>
      </c>
      <c r="L65" s="444"/>
      <c r="M65" s="446" t="e">
        <f>IF(AND(C65&lt;0,ABS(C65)&gt;=2*E65),"검토 필요없음",IF(E65&lt;=$M$42,"OK","NG"))</f>
        <v>#DIV/0!</v>
      </c>
      <c r="N65" s="86"/>
      <c r="P65" s="4"/>
    </row>
    <row r="66">
      <c r="A66" s="187">
        <f>INPUT!D15</f>
        <v>101</v>
      </c>
      <c r="B66" s="191" t="str">
        <f>IF(INPUT!AR15&lt;=0,"Positive","Negative")</f>
        <v>Negative</v>
      </c>
      <c r="C66" s="191">
        <f>INPUT!CQ15</f>
        <v>0.64323709751425051</v>
      </c>
      <c r="D66" s="343">
        <f>INPUT!CR15</f>
        <v>-0.60512543551277931</v>
      </c>
      <c r="E66" s="191">
        <f>INPUT!CS15</f>
        <v>0.000649453098666768</v>
      </c>
      <c r="F66" s="191">
        <f>INPUT!CT15</f>
        <v>0.00072819558301501176</v>
      </c>
      <c r="G66" s="442" t="str">
        <f>IF(OR(INPUT!E15="Exterior Support",INPUT!E15="Interior Support",INPUT!E15="Cross Beam"),"X","O")</f>
        <v>X</v>
      </c>
      <c r="H66" s="442" t="str">
        <f>IF(OR(INPUT!E15="",INPUT!E15="Section Changed"),"O","X")</f>
        <v>X</v>
      </c>
      <c r="I66" s="446" t="e">
        <f>IF(H66="X",IF(MAX(E66,F66)&lt;=$M$38,"OK","NG"),"-")</f>
        <v>#DIV/0!</v>
      </c>
      <c r="J66" s="443"/>
      <c r="K66" s="446" t="str">
        <f>IF(G66="O",IF(AND(C66&lt;0,ABS(C66)&gt;=2*E66),"검토 필요없음",IF(E66&lt;=$M$40,"OK","NG")),"-")</f>
        <v>-</v>
      </c>
      <c r="L66" s="444"/>
      <c r="M66" s="446" t="e">
        <f>IF(AND(C66&lt;0,ABS(C66)&gt;=2*E66),"검토 필요없음",IF(E66&lt;=$M$42,"OK","NG"))</f>
        <v>#DIV/0!</v>
      </c>
      <c r="N66" s="86"/>
      <c r="P66" s="4"/>
    </row>
    <row r="67">
      <c r="A67" s="187">
        <f>INPUT!D16</f>
        <v>101</v>
      </c>
      <c r="B67" s="191" t="str">
        <f>IF(INPUT!AR16&lt;=0,"Positive","Negative")</f>
        <v>Negative</v>
      </c>
      <c r="C67" s="191">
        <f>INPUT!CQ16</f>
        <v>0.64323709751425051</v>
      </c>
      <c r="D67" s="343">
        <f>INPUT!CR16</f>
        <v>-0.60512543551277931</v>
      </c>
      <c r="E67" s="191">
        <f>INPUT!CS16</f>
        <v>0.000649453098666768</v>
      </c>
      <c r="F67" s="191">
        <f>INPUT!CT16</f>
        <v>0.00072819558301501176</v>
      </c>
      <c r="G67" s="442" t="str">
        <f>IF(OR(INPUT!E16="Exterior Support",INPUT!E16="Interior Support",INPUT!E16="Cross Beam"),"X","O")</f>
        <v>X</v>
      </c>
      <c r="H67" s="442" t="str">
        <f>IF(OR(INPUT!E16="",INPUT!E16="Section Changed"),"O","X")</f>
        <v>X</v>
      </c>
      <c r="I67" s="446" t="e">
        <f>IF(H67="X",IF(MAX(E67,F67)&lt;=$M$38,"OK","NG"),"-")</f>
        <v>#DIV/0!</v>
      </c>
      <c r="J67" s="443"/>
      <c r="K67" s="446" t="str">
        <f>IF(G67="O",IF(AND(C67&lt;0,ABS(C67)&gt;=2*E67),"검토 필요없음",IF(E67&lt;=$M$40,"OK","NG")),"-")</f>
        <v>-</v>
      </c>
      <c r="L67" s="444"/>
      <c r="M67" s="446" t="e">
        <f>IF(AND(C67&lt;0,ABS(C67)&gt;=2*E67),"검토 필요없음",IF(E67&lt;=$M$42,"OK","NG"))</f>
        <v>#DIV/0!</v>
      </c>
      <c r="N67" s="86"/>
      <c r="P67" s="4"/>
    </row>
    <row r="68">
      <c r="A68" s="187">
        <f>INPUT!D17</f>
        <v>101</v>
      </c>
      <c r="B68" s="191" t="str">
        <f>IF(INPUT!AR17&lt;=0,"Positive","Negative")</f>
        <v>Negative</v>
      </c>
      <c r="C68" s="191">
        <f>INPUT!CQ17</f>
        <v>0.64323709751425051</v>
      </c>
      <c r="D68" s="343">
        <f>INPUT!CR17</f>
        <v>-0.60512543551277931</v>
      </c>
      <c r="E68" s="191">
        <f>INPUT!CS17</f>
        <v>0.000649453098666768</v>
      </c>
      <c r="F68" s="191">
        <f>INPUT!CT17</f>
        <v>0.00072819558301501176</v>
      </c>
      <c r="G68" s="442" t="str">
        <f>IF(OR(INPUT!E17="Exterior Support",INPUT!E17="Interior Support",INPUT!E17="Cross Beam"),"X","O")</f>
        <v>X</v>
      </c>
      <c r="H68" s="442" t="str">
        <f>IF(OR(INPUT!E17="",INPUT!E17="Section Changed"),"O","X")</f>
        <v>X</v>
      </c>
      <c r="I68" s="446" t="e">
        <f>IF(H68="X",IF(MAX(E68,F68)&lt;=$M$38,"OK","NG"),"-")</f>
        <v>#DIV/0!</v>
      </c>
      <c r="J68" s="443"/>
      <c r="K68" s="446" t="str">
        <f>IF(G68="O",IF(AND(C68&lt;0,ABS(C68)&gt;=2*E68),"검토 필요없음",IF(E68&lt;=$M$40,"OK","NG")),"-")</f>
        <v>-</v>
      </c>
      <c r="L68" s="444"/>
      <c r="M68" s="446" t="e">
        <f>IF(AND(C68&lt;0,ABS(C68)&gt;=2*E68),"검토 필요없음",IF(E68&lt;=$M$42,"OK","NG"))</f>
        <v>#DIV/0!</v>
      </c>
      <c r="N68" s="86"/>
      <c r="P68" s="4"/>
    </row>
    <row r="69">
      <c r="A69" s="187">
        <f>INPUT!D18</f>
        <v>101</v>
      </c>
      <c r="B69" s="191" t="str">
        <f>IF(INPUT!AR18&lt;=0,"Positive","Negative")</f>
        <v>Negative</v>
      </c>
      <c r="C69" s="191">
        <f>INPUT!CQ18</f>
        <v>0.64323709751425051</v>
      </c>
      <c r="D69" s="343">
        <f>INPUT!CR18</f>
        <v>-0.60512543551277931</v>
      </c>
      <c r="E69" s="191">
        <f>INPUT!CS18</f>
        <v>0.000649453098666768</v>
      </c>
      <c r="F69" s="191">
        <f>INPUT!CT18</f>
        <v>0.00072819558301501176</v>
      </c>
      <c r="G69" s="442" t="str">
        <f>IF(OR(INPUT!E18="Exterior Support",INPUT!E18="Interior Support",INPUT!E18="Cross Beam"),"X","O")</f>
        <v>X</v>
      </c>
      <c r="H69" s="442" t="str">
        <f>IF(OR(INPUT!E18="",INPUT!E18="Section Changed"),"O","X")</f>
        <v>X</v>
      </c>
      <c r="I69" s="446" t="e">
        <f>IF(H69="X",IF(MAX(E69,F69)&lt;=$M$38,"OK","NG"),"-")</f>
        <v>#DIV/0!</v>
      </c>
      <c r="J69" s="443"/>
      <c r="K69" s="446" t="str">
        <f>IF(G69="O",IF(AND(C69&lt;0,ABS(C69)&gt;=2*E69),"검토 필요없음",IF(E69&lt;=$M$40,"OK","NG")),"-")</f>
        <v>-</v>
      </c>
      <c r="L69" s="444"/>
      <c r="M69" s="446" t="e">
        <f>IF(AND(C69&lt;0,ABS(C69)&gt;=2*E69),"검토 필요없음",IF(E69&lt;=$M$42,"OK","NG"))</f>
        <v>#DIV/0!</v>
      </c>
      <c r="N69" s="86"/>
      <c r="P69" s="4"/>
    </row>
    <row r="70">
      <c r="A70" s="187">
        <f>INPUT!D19</f>
        <v>101</v>
      </c>
      <c r="B70" s="191" t="str">
        <f>IF(INPUT!AR19&lt;=0,"Positive","Negative")</f>
        <v>Negative</v>
      </c>
      <c r="C70" s="191">
        <f>INPUT!CQ19</f>
        <v>0.64323709751425051</v>
      </c>
      <c r="D70" s="343">
        <f>INPUT!CR19</f>
        <v>-0.60512543551277931</v>
      </c>
      <c r="E70" s="191">
        <f>INPUT!CS19</f>
        <v>0.000649453098666768</v>
      </c>
      <c r="F70" s="191">
        <f>INPUT!CT19</f>
        <v>0.00072819558301501176</v>
      </c>
      <c r="G70" s="442" t="str">
        <f>IF(OR(INPUT!E19="Exterior Support",INPUT!E19="Interior Support",INPUT!E19="Cross Beam"),"X","O")</f>
        <v>X</v>
      </c>
      <c r="H70" s="442" t="str">
        <f>IF(OR(INPUT!E19="",INPUT!E19="Section Changed"),"O","X")</f>
        <v>X</v>
      </c>
      <c r="I70" s="446" t="e">
        <f>IF(H70="X",IF(MAX(E70,F70)&lt;=$M$38,"OK","NG"),"-")</f>
        <v>#DIV/0!</v>
      </c>
      <c r="J70" s="443"/>
      <c r="K70" s="446" t="str">
        <f>IF(G70="O",IF(AND(C70&lt;0,ABS(C70)&gt;=2*E70),"검토 필요없음",IF(E70&lt;=$M$40,"OK","NG")),"-")</f>
        <v>-</v>
      </c>
      <c r="L70" s="444"/>
      <c r="M70" s="446" t="e">
        <f>IF(AND(C70&lt;0,ABS(C70)&gt;=2*E70),"검토 필요없음",IF(E70&lt;=$M$42,"OK","NG"))</f>
        <v>#DIV/0!</v>
      </c>
      <c r="N70" s="86"/>
      <c r="P70" s="4"/>
    </row>
    <row r="71">
      <c r="A71" s="187">
        <f>INPUT!D20</f>
        <v>101</v>
      </c>
      <c r="B71" s="191" t="str">
        <f>IF(INPUT!AR20&lt;=0,"Positive","Negative")</f>
        <v>Negative</v>
      </c>
      <c r="C71" s="191">
        <f>INPUT!CQ20</f>
        <v>0.64323709751425051</v>
      </c>
      <c r="D71" s="343">
        <f>INPUT!CR20</f>
        <v>-0.60512543551277931</v>
      </c>
      <c r="E71" s="191">
        <f>INPUT!CS20</f>
        <v>0.000649453098666768</v>
      </c>
      <c r="F71" s="191">
        <f>INPUT!CT20</f>
        <v>0.00072819558301501176</v>
      </c>
      <c r="G71" s="442" t="str">
        <f>IF(OR(INPUT!E20="Exterior Support",INPUT!E20="Interior Support",INPUT!E20="Cross Beam"),"X","O")</f>
        <v>X</v>
      </c>
      <c r="H71" s="442" t="str">
        <f>IF(OR(INPUT!E20="",INPUT!E20="Section Changed"),"O","X")</f>
        <v>X</v>
      </c>
      <c r="I71" s="446" t="e">
        <f>IF(H71="X",IF(MAX(E71,F71)&lt;=$M$38,"OK","NG"),"-")</f>
        <v>#DIV/0!</v>
      </c>
      <c r="J71" s="443"/>
      <c r="K71" s="446" t="str">
        <f>IF(G71="O",IF(AND(C71&lt;0,ABS(C71)&gt;=2*E71),"검토 필요없음",IF(E71&lt;=$M$40,"OK","NG")),"-")</f>
        <v>-</v>
      </c>
      <c r="L71" s="444"/>
      <c r="M71" s="446" t="e">
        <f>IF(AND(C71&lt;0,ABS(C71)&gt;=2*E71),"검토 필요없음",IF(E71&lt;=$M$42,"OK","NG"))</f>
        <v>#DIV/0!</v>
      </c>
      <c r="N71" s="86"/>
      <c r="P71" s="4"/>
    </row>
    <row r="72">
      <c r="A72" s="187">
        <f>INPUT!D21</f>
        <v>101</v>
      </c>
      <c r="B72" s="191" t="str">
        <f>IF(INPUT!AR21&lt;=0,"Positive","Negative")</f>
        <v>Negative</v>
      </c>
      <c r="C72" s="191">
        <f>INPUT!CQ21</f>
        <v>0.64323709751425051</v>
      </c>
      <c r="D72" s="343">
        <f>INPUT!CR21</f>
        <v>-0.60512543551277931</v>
      </c>
      <c r="E72" s="191">
        <f>INPUT!CS21</f>
        <v>0.000649453098666768</v>
      </c>
      <c r="F72" s="191">
        <f>INPUT!CT21</f>
        <v>0.00072819558301501176</v>
      </c>
      <c r="G72" s="442" t="str">
        <f>IF(OR(INPUT!E21="Exterior Support",INPUT!E21="Interior Support",INPUT!E21="Cross Beam"),"X","O")</f>
        <v>X</v>
      </c>
      <c r="H72" s="442" t="str">
        <f>IF(OR(INPUT!E21="",INPUT!E21="Section Changed"),"O","X")</f>
        <v>X</v>
      </c>
      <c r="I72" s="446" t="e">
        <f>IF(H72="X",IF(MAX(E72,F72)&lt;=$M$38,"OK","NG"),"-")</f>
        <v>#DIV/0!</v>
      </c>
      <c r="J72" s="443"/>
      <c r="K72" s="446" t="str">
        <f>IF(G72="O",IF(AND(C72&lt;0,ABS(C72)&gt;=2*E72),"검토 필요없음",IF(E72&lt;=$M$40,"OK","NG")),"-")</f>
        <v>-</v>
      </c>
      <c r="L72" s="444"/>
      <c r="M72" s="446" t="e">
        <f>IF(AND(C72&lt;0,ABS(C72)&gt;=2*E72),"검토 필요없음",IF(E72&lt;=$M$42,"OK","NG"))</f>
        <v>#DIV/0!</v>
      </c>
      <c r="N72" s="86"/>
      <c r="P72" s="4"/>
    </row>
    <row r="73">
      <c r="A73" s="187">
        <f>INPUT!D22</f>
        <v>101</v>
      </c>
      <c r="B73" s="191" t="str">
        <f>IF(INPUT!AR22&lt;=0,"Positive","Negative")</f>
        <v>Negative</v>
      </c>
      <c r="C73" s="191">
        <f>INPUT!CQ22</f>
        <v>0.64323709751425051</v>
      </c>
      <c r="D73" s="343">
        <f>INPUT!CR22</f>
        <v>-0.60512543551277931</v>
      </c>
      <c r="E73" s="191">
        <f>INPUT!CS22</f>
        <v>0.000649453098666768</v>
      </c>
      <c r="F73" s="191">
        <f>INPUT!CT22</f>
        <v>0.00072819558301501176</v>
      </c>
      <c r="G73" s="442" t="str">
        <f>IF(OR(INPUT!E22="Exterior Support",INPUT!E22="Interior Support",INPUT!E22="Cross Beam"),"X","O")</f>
        <v>X</v>
      </c>
      <c r="H73" s="442" t="str">
        <f>IF(OR(INPUT!E22="",INPUT!E22="Section Changed"),"O","X")</f>
        <v>X</v>
      </c>
      <c r="I73" s="446" t="e">
        <f>IF(H73="X",IF(MAX(E73,F73)&lt;=$M$38,"OK","NG"),"-")</f>
        <v>#DIV/0!</v>
      </c>
      <c r="J73" s="443"/>
      <c r="K73" s="446" t="str">
        <f>IF(G73="O",IF(AND(C73&lt;0,ABS(C73)&gt;=2*E73),"검토 필요없음",IF(E73&lt;=$M$40,"OK","NG")),"-")</f>
        <v>-</v>
      </c>
      <c r="L73" s="444"/>
      <c r="M73" s="446" t="e">
        <f>IF(AND(C73&lt;0,ABS(C73)&gt;=2*E73),"검토 필요없음",IF(E73&lt;=$M$42,"OK","NG"))</f>
        <v>#DIV/0!</v>
      </c>
      <c r="N73" s="86"/>
      <c r="P73" s="4"/>
    </row>
    <row r="74">
      <c r="A74" s="187">
        <f>INPUT!D23</f>
        <v>101</v>
      </c>
      <c r="B74" s="191" t="str">
        <f>IF(INPUT!AR23&lt;=0,"Positive","Negative")</f>
        <v>Negative</v>
      </c>
      <c r="C74" s="191">
        <f>INPUT!CQ23</f>
        <v>0.64323709751425051</v>
      </c>
      <c r="D74" s="343">
        <f>INPUT!CR23</f>
        <v>-0.60512543551277931</v>
      </c>
      <c r="E74" s="191">
        <f>INPUT!CS23</f>
        <v>0.000649453098666768</v>
      </c>
      <c r="F74" s="191">
        <f>INPUT!CT23</f>
        <v>0.00072819558301501176</v>
      </c>
      <c r="G74" s="442" t="str">
        <f>IF(OR(INPUT!E23="Exterior Support",INPUT!E23="Interior Support",INPUT!E23="Cross Beam"),"X","O")</f>
        <v>X</v>
      </c>
      <c r="H74" s="442" t="str">
        <f>IF(OR(INPUT!E23="",INPUT!E23="Section Changed"),"O","X")</f>
        <v>X</v>
      </c>
      <c r="I74" s="446" t="e">
        <f>IF(H74="X",IF(MAX(E74,F74)&lt;=$M$38,"OK","NG"),"-")</f>
        <v>#DIV/0!</v>
      </c>
      <c r="J74" s="443"/>
      <c r="K74" s="446" t="str">
        <f>IF(G74="O",IF(AND(C74&lt;0,ABS(C74)&gt;=2*E74),"검토 필요없음",IF(E74&lt;=$M$40,"OK","NG")),"-")</f>
        <v>-</v>
      </c>
      <c r="L74" s="444"/>
      <c r="M74" s="446" t="e">
        <f>IF(AND(C74&lt;0,ABS(C74)&gt;=2*E74),"검토 필요없음",IF(E74&lt;=$M$42,"OK","NG"))</f>
        <v>#DIV/0!</v>
      </c>
      <c r="N74" s="86"/>
      <c r="P74" s="4"/>
    </row>
    <row r="75">
      <c r="A75" s="187">
        <f>INPUT!D24</f>
        <v>101</v>
      </c>
      <c r="B75" s="191" t="str">
        <f>IF(INPUT!AR24&lt;=0,"Positive","Negative")</f>
        <v>Negative</v>
      </c>
      <c r="C75" s="191">
        <f>INPUT!CQ24</f>
        <v>0.64323709751425051</v>
      </c>
      <c r="D75" s="343">
        <f>INPUT!CR24</f>
        <v>-0.60512543551277931</v>
      </c>
      <c r="E75" s="191">
        <f>INPUT!CS24</f>
        <v>0.000649453098666768</v>
      </c>
      <c r="F75" s="191">
        <f>INPUT!CT24</f>
        <v>0.00072819558301501176</v>
      </c>
      <c r="G75" s="442" t="str">
        <f>IF(OR(INPUT!E24="Exterior Support",INPUT!E24="Interior Support",INPUT!E24="Cross Beam"),"X","O")</f>
        <v>X</v>
      </c>
      <c r="H75" s="442" t="str">
        <f>IF(OR(INPUT!E24="",INPUT!E24="Section Changed"),"O","X")</f>
        <v>X</v>
      </c>
      <c r="I75" s="446" t="e">
        <f>IF(H75="X",IF(MAX(E75,F75)&lt;=$M$38,"OK","NG"),"-")</f>
        <v>#DIV/0!</v>
      </c>
      <c r="J75" s="443"/>
      <c r="K75" s="446" t="str">
        <f>IF(G75="O",IF(AND(C75&lt;0,ABS(C75)&gt;=2*E75),"검토 필요없음",IF(E75&lt;=$M$40,"OK","NG")),"-")</f>
        <v>-</v>
      </c>
      <c r="L75" s="444"/>
      <c r="M75" s="446" t="e">
        <f>IF(AND(C75&lt;0,ABS(C75)&gt;=2*E75),"검토 필요없음",IF(E75&lt;=$M$42,"OK","NG"))</f>
        <v>#DIV/0!</v>
      </c>
      <c r="N75" s="86"/>
      <c r="P75" s="4"/>
    </row>
    <row r="76">
      <c r="A76" s="187">
        <f>INPUT!D25</f>
        <v>101</v>
      </c>
      <c r="B76" s="191" t="str">
        <f>IF(INPUT!AR25&lt;=0,"Positive","Negative")</f>
        <v>Negative</v>
      </c>
      <c r="C76" s="191">
        <f>INPUT!CQ25</f>
        <v>0.64323709751425051</v>
      </c>
      <c r="D76" s="343">
        <f>INPUT!CR25</f>
        <v>-0.60512543551277931</v>
      </c>
      <c r="E76" s="191">
        <f>INPUT!CS25</f>
        <v>0.000649453098666768</v>
      </c>
      <c r="F76" s="191">
        <f>INPUT!CT25</f>
        <v>0.00072819558301501176</v>
      </c>
      <c r="G76" s="442" t="str">
        <f>IF(OR(INPUT!E25="Exterior Support",INPUT!E25="Interior Support",INPUT!E25="Cross Beam"),"X","O")</f>
        <v>X</v>
      </c>
      <c r="H76" s="442" t="str">
        <f>IF(OR(INPUT!E25="",INPUT!E25="Section Changed"),"O","X")</f>
        <v>X</v>
      </c>
      <c r="I76" s="446" t="e">
        <f>IF(H76="X",IF(MAX(E76,F76)&lt;=$M$38,"OK","NG"),"-")</f>
        <v>#DIV/0!</v>
      </c>
      <c r="J76" s="443"/>
      <c r="K76" s="446" t="str">
        <f>IF(G76="O",IF(AND(C76&lt;0,ABS(C76)&gt;=2*E76),"검토 필요없음",IF(E76&lt;=$M$40,"OK","NG")),"-")</f>
        <v>-</v>
      </c>
      <c r="L76" s="444"/>
      <c r="M76" s="446" t="e">
        <f>IF(AND(C76&lt;0,ABS(C76)&gt;=2*E76),"검토 필요없음",IF(E76&lt;=$M$42,"OK","NG"))</f>
        <v>#DIV/0!</v>
      </c>
      <c r="N76" s="86"/>
      <c r="P76" s="4"/>
    </row>
    <row r="77">
      <c r="A77" s="187">
        <f>INPUT!D26</f>
        <v>101</v>
      </c>
      <c r="B77" s="191" t="str">
        <f>IF(INPUT!AR26&lt;=0,"Positive","Negative")</f>
        <v>Negative</v>
      </c>
      <c r="C77" s="191">
        <f>INPUT!CQ26</f>
        <v>0.64323709751425051</v>
      </c>
      <c r="D77" s="343">
        <f>INPUT!CR26</f>
        <v>-0.60512543551277931</v>
      </c>
      <c r="E77" s="191">
        <f>INPUT!CS26</f>
        <v>0.000649453098666768</v>
      </c>
      <c r="F77" s="191">
        <f>INPUT!CT26</f>
        <v>0.00072819558301501176</v>
      </c>
      <c r="G77" s="442" t="str">
        <f>IF(OR(INPUT!E26="Exterior Support",INPUT!E26="Interior Support",INPUT!E26="Cross Beam"),"X","O")</f>
        <v>X</v>
      </c>
      <c r="H77" s="442" t="str">
        <f>IF(OR(INPUT!E26="",INPUT!E26="Section Changed"),"O","X")</f>
        <v>X</v>
      </c>
      <c r="I77" s="446" t="e">
        <f>IF(H77="X",IF(MAX(E77,F77)&lt;=$M$38,"OK","NG"),"-")</f>
        <v>#DIV/0!</v>
      </c>
      <c r="J77" s="443"/>
      <c r="K77" s="446" t="str">
        <f>IF(G77="O",IF(AND(C77&lt;0,ABS(C77)&gt;=2*E77),"검토 필요없음",IF(E77&lt;=$M$40,"OK","NG")),"-")</f>
        <v>-</v>
      </c>
      <c r="L77" s="444"/>
      <c r="M77" s="446" t="e">
        <f>IF(AND(C77&lt;0,ABS(C77)&gt;=2*E77),"검토 필요없음",IF(E77&lt;=$M$42,"OK","NG"))</f>
        <v>#DIV/0!</v>
      </c>
      <c r="N77" s="86"/>
      <c r="P77" s="4"/>
    </row>
    <row r="78">
      <c r="A78" s="187">
        <f>INPUT!D27</f>
        <v>101</v>
      </c>
      <c r="B78" s="191" t="str">
        <f>IF(INPUT!AR27&lt;=0,"Positive","Negative")</f>
        <v>Negative</v>
      </c>
      <c r="C78" s="191">
        <f>INPUT!CQ27</f>
        <v>0.64323709751425051</v>
      </c>
      <c r="D78" s="343">
        <f>INPUT!CR27</f>
        <v>-0.60512543551277931</v>
      </c>
      <c r="E78" s="191">
        <f>INPUT!CS27</f>
        <v>0.000649453098666768</v>
      </c>
      <c r="F78" s="191">
        <f>INPUT!CT27</f>
        <v>0.00072819558301501176</v>
      </c>
      <c r="G78" s="442" t="str">
        <f>IF(OR(INPUT!E27="Exterior Support",INPUT!E27="Interior Support",INPUT!E27="Cross Beam"),"X","O")</f>
        <v>X</v>
      </c>
      <c r="H78" s="442" t="str">
        <f>IF(OR(INPUT!E27="",INPUT!E27="Section Changed"),"O","X")</f>
        <v>X</v>
      </c>
      <c r="I78" s="446" t="e">
        <f>IF(H78="X",IF(MAX(E78,F78)&lt;=$M$38,"OK","NG"),"-")</f>
        <v>#DIV/0!</v>
      </c>
      <c r="J78" s="443"/>
      <c r="K78" s="446" t="str">
        <f>IF(G78="O",IF(AND(C78&lt;0,ABS(C78)&gt;=2*E78),"검토 필요없음",IF(E78&lt;=$M$40,"OK","NG")),"-")</f>
        <v>-</v>
      </c>
      <c r="L78" s="444"/>
      <c r="M78" s="446" t="e">
        <f>IF(AND(C78&lt;0,ABS(C78)&gt;=2*E78),"검토 필요없음",IF(E78&lt;=$M$42,"OK","NG"))</f>
        <v>#DIV/0!</v>
      </c>
      <c r="N78" s="86"/>
      <c r="P78" s="4"/>
    </row>
    <row r="79">
      <c r="A79" s="187">
        <f>INPUT!D28</f>
        <v>101</v>
      </c>
      <c r="B79" s="191" t="str">
        <f>IF(INPUT!AR28&lt;=0,"Positive","Negative")</f>
        <v>Negative</v>
      </c>
      <c r="C79" s="191">
        <f>INPUT!CQ28</f>
        <v>0.64323709751425051</v>
      </c>
      <c r="D79" s="343">
        <f>INPUT!CR28</f>
        <v>-0.60512543551277931</v>
      </c>
      <c r="E79" s="191">
        <f>INPUT!CS28</f>
        <v>0.000649453098666768</v>
      </c>
      <c r="F79" s="191">
        <f>INPUT!CT28</f>
        <v>0.00072819558301501176</v>
      </c>
      <c r="G79" s="442" t="str">
        <f>IF(OR(INPUT!E28="Exterior Support",INPUT!E28="Interior Support",INPUT!E28="Cross Beam"),"X","O")</f>
        <v>X</v>
      </c>
      <c r="H79" s="442" t="str">
        <f>IF(OR(INPUT!E28="",INPUT!E28="Section Changed"),"O","X")</f>
        <v>X</v>
      </c>
      <c r="I79" s="446" t="e">
        <f>IF(H79="X",IF(MAX(E79,F79)&lt;=$M$38,"OK","NG"),"-")</f>
        <v>#DIV/0!</v>
      </c>
      <c r="J79" s="443"/>
      <c r="K79" s="446" t="str">
        <f>IF(G79="O",IF(AND(C79&lt;0,ABS(C79)&gt;=2*E79),"검토 필요없음",IF(E79&lt;=$M$40,"OK","NG")),"-")</f>
        <v>-</v>
      </c>
      <c r="L79" s="444"/>
      <c r="M79" s="446" t="e">
        <f>IF(AND(C79&lt;0,ABS(C79)&gt;=2*E79),"검토 필요없음",IF(E79&lt;=$M$42,"OK","NG"))</f>
        <v>#DIV/0!</v>
      </c>
      <c r="N79" s="86"/>
      <c r="P79" s="4"/>
    </row>
    <row r="80">
      <c r="A80" s="187">
        <f>INPUT!D29</f>
        <v>101</v>
      </c>
      <c r="B80" s="191" t="str">
        <f>IF(INPUT!AR29&lt;=0,"Positive","Negative")</f>
        <v>Negative</v>
      </c>
      <c r="C80" s="191">
        <f>INPUT!CQ29</f>
        <v>0.64323709751425051</v>
      </c>
      <c r="D80" s="343">
        <f>INPUT!CR29</f>
        <v>-0.60512543551277931</v>
      </c>
      <c r="E80" s="191">
        <f>INPUT!CS29</f>
        <v>0.000649453098666768</v>
      </c>
      <c r="F80" s="191">
        <f>INPUT!CT29</f>
        <v>0.00072819558301501176</v>
      </c>
      <c r="G80" s="442" t="str">
        <f>IF(OR(INPUT!E29="Exterior Support",INPUT!E29="Interior Support",INPUT!E29="Cross Beam"),"X","O")</f>
        <v>X</v>
      </c>
      <c r="H80" s="442" t="str">
        <f>IF(OR(INPUT!E29="",INPUT!E29="Section Changed"),"O","X")</f>
        <v>X</v>
      </c>
      <c r="I80" s="446" t="e">
        <f>IF(H80="X",IF(MAX(E80,F80)&lt;=$M$38,"OK","NG"),"-")</f>
        <v>#DIV/0!</v>
      </c>
      <c r="J80" s="443"/>
      <c r="K80" s="446" t="str">
        <f>IF(G80="O",IF(AND(C80&lt;0,ABS(C80)&gt;=2*E80),"검토 필요없음",IF(E80&lt;=$M$40,"OK","NG")),"-")</f>
        <v>-</v>
      </c>
      <c r="L80" s="444"/>
      <c r="M80" s="446" t="e">
        <f>IF(AND(C80&lt;0,ABS(C80)&gt;=2*E80),"검토 필요없음",IF(E80&lt;=$M$42,"OK","NG"))</f>
        <v>#DIV/0!</v>
      </c>
      <c r="N80" s="86"/>
      <c r="P80" s="4"/>
    </row>
    <row r="81">
      <c r="A81" s="187">
        <f>INPUT!D30</f>
        <v>101</v>
      </c>
      <c r="B81" s="191" t="str">
        <f>IF(INPUT!AR30&lt;=0,"Positive","Negative")</f>
        <v>Negative</v>
      </c>
      <c r="C81" s="191">
        <f>INPUT!CQ30</f>
        <v>0.64323709751425051</v>
      </c>
      <c r="D81" s="343">
        <f>INPUT!CR30</f>
        <v>-0.60512543551277931</v>
      </c>
      <c r="E81" s="191">
        <f>INPUT!CS30</f>
        <v>0.000649453098666768</v>
      </c>
      <c r="F81" s="191">
        <f>INPUT!CT30</f>
        <v>0.00072819558301501176</v>
      </c>
      <c r="G81" s="442" t="str">
        <f>IF(OR(INPUT!E30="Exterior Support",INPUT!E30="Interior Support",INPUT!E30="Cross Beam"),"X","O")</f>
        <v>X</v>
      </c>
      <c r="H81" s="442" t="str">
        <f>IF(OR(INPUT!E30="",INPUT!E30="Section Changed"),"O","X")</f>
        <v>X</v>
      </c>
      <c r="I81" s="446" t="e">
        <f>IF(H81="X",IF(MAX(E81,F81)&lt;=$M$38,"OK","NG"),"-")</f>
        <v>#DIV/0!</v>
      </c>
      <c r="J81" s="443"/>
      <c r="K81" s="446" t="str">
        <f>IF(G81="O",IF(AND(C81&lt;0,ABS(C81)&gt;=2*E81),"검토 필요없음",IF(E81&lt;=$M$40,"OK","NG")),"-")</f>
        <v>-</v>
      </c>
      <c r="L81" s="444"/>
      <c r="M81" s="446" t="e">
        <f>IF(AND(C81&lt;0,ABS(C81)&gt;=2*E81),"검토 필요없음",IF(E81&lt;=$M$42,"OK","NG"))</f>
        <v>#DIV/0!</v>
      </c>
      <c r="N81" s="86"/>
      <c r="P81" s="4"/>
    </row>
    <row r="82">
      <c r="A82" s="187">
        <f>INPUT!D31</f>
        <v>101</v>
      </c>
      <c r="B82" s="191" t="str">
        <f>IF(INPUT!AR31&lt;=0,"Positive","Negative")</f>
        <v>Negative</v>
      </c>
      <c r="C82" s="191">
        <f>INPUT!CQ31</f>
        <v>0.64323709751425051</v>
      </c>
      <c r="D82" s="343">
        <f>INPUT!CR31</f>
        <v>-0.60512543551277931</v>
      </c>
      <c r="E82" s="191">
        <f>INPUT!CS31</f>
        <v>0.000649453098666768</v>
      </c>
      <c r="F82" s="191">
        <f>INPUT!CT31</f>
        <v>0.00072819558301501176</v>
      </c>
      <c r="G82" s="442" t="str">
        <f>IF(OR(INPUT!E31="Exterior Support",INPUT!E31="Interior Support",INPUT!E31="Cross Beam"),"X","O")</f>
        <v>X</v>
      </c>
      <c r="H82" s="442" t="str">
        <f>IF(OR(INPUT!E31="",INPUT!E31="Section Changed"),"O","X")</f>
        <v>X</v>
      </c>
      <c r="I82" s="446" t="e">
        <f>IF(H82="X",IF(MAX(E82,F82)&lt;=$M$38,"OK","NG"),"-")</f>
        <v>#DIV/0!</v>
      </c>
      <c r="J82" s="443"/>
      <c r="K82" s="446" t="str">
        <f>IF(G82="O",IF(AND(C82&lt;0,ABS(C82)&gt;=2*E82),"검토 필요없음",IF(E82&lt;=$M$40,"OK","NG")),"-")</f>
        <v>-</v>
      </c>
      <c r="L82" s="444"/>
      <c r="M82" s="446" t="e">
        <f>IF(AND(C82&lt;0,ABS(C82)&gt;=2*E82),"검토 필요없음",IF(E82&lt;=$M$42,"OK","NG"))</f>
        <v>#DIV/0!</v>
      </c>
      <c r="N82" s="86"/>
      <c r="P82" s="4"/>
    </row>
    <row r="83">
      <c r="A83" s="187">
        <f>INPUT!D32</f>
        <v>101</v>
      </c>
      <c r="B83" s="191" t="str">
        <f>IF(INPUT!AR32&lt;=0,"Positive","Negative")</f>
        <v>Negative</v>
      </c>
      <c r="C83" s="191">
        <f>INPUT!CQ32</f>
        <v>0.64323709751425051</v>
      </c>
      <c r="D83" s="343">
        <f>INPUT!CR32</f>
        <v>-0.60512543551277931</v>
      </c>
      <c r="E83" s="191">
        <f>INPUT!CS32</f>
        <v>0.000649453098666768</v>
      </c>
      <c r="F83" s="191">
        <f>INPUT!CT32</f>
        <v>0.00072819558301501176</v>
      </c>
      <c r="G83" s="442" t="str">
        <f>IF(OR(INPUT!E32="Exterior Support",INPUT!E32="Interior Support",INPUT!E32="Cross Beam"),"X","O")</f>
        <v>X</v>
      </c>
      <c r="H83" s="442" t="str">
        <f>IF(OR(INPUT!E32="",INPUT!E32="Section Changed"),"O","X")</f>
        <v>X</v>
      </c>
      <c r="I83" s="446" t="e">
        <f>IF(H83="X",IF(MAX(E83,F83)&lt;=$M$38,"OK","NG"),"-")</f>
        <v>#DIV/0!</v>
      </c>
      <c r="J83" s="443"/>
      <c r="K83" s="446" t="str">
        <f>IF(G83="O",IF(AND(C83&lt;0,ABS(C83)&gt;=2*E83),"검토 필요없음",IF(E83&lt;=$M$40,"OK","NG")),"-")</f>
        <v>-</v>
      </c>
      <c r="L83" s="444"/>
      <c r="M83" s="446" t="e">
        <f>IF(AND(C83&lt;0,ABS(C83)&gt;=2*E83),"검토 필요없음",IF(E83&lt;=$M$42,"OK","NG"))</f>
        <v>#DIV/0!</v>
      </c>
      <c r="N83" s="86"/>
      <c r="P83" s="4"/>
    </row>
    <row r="84">
      <c r="A84" s="187">
        <f>INPUT!D33</f>
        <v>101</v>
      </c>
      <c r="B84" s="191" t="str">
        <f>IF(INPUT!AR33&lt;=0,"Positive","Negative")</f>
        <v>Negative</v>
      </c>
      <c r="C84" s="191">
        <f>INPUT!CQ33</f>
        <v>0.64323709751425051</v>
      </c>
      <c r="D84" s="343">
        <f>INPUT!CR33</f>
        <v>-0.60512543551277931</v>
      </c>
      <c r="E84" s="191">
        <f>INPUT!CS33</f>
        <v>0.000649453098666768</v>
      </c>
      <c r="F84" s="191">
        <f>INPUT!CT33</f>
        <v>0.00072819558301501176</v>
      </c>
      <c r="G84" s="442" t="str">
        <f>IF(OR(INPUT!E33="Exterior Support",INPUT!E33="Interior Support",INPUT!E33="Cross Beam"),"X","O")</f>
        <v>X</v>
      </c>
      <c r="H84" s="442" t="str">
        <f>IF(OR(INPUT!E33="",INPUT!E33="Section Changed"),"O","X")</f>
        <v>X</v>
      </c>
      <c r="I84" s="446" t="e">
        <f>IF(H84="X",IF(MAX(E84,F84)&lt;=$M$38,"OK","NG"),"-")</f>
        <v>#DIV/0!</v>
      </c>
      <c r="J84" s="443"/>
      <c r="K84" s="446" t="str">
        <f>IF(G84="O",IF(AND(C84&lt;0,ABS(C84)&gt;=2*E84),"검토 필요없음",IF(E84&lt;=$M$40,"OK","NG")),"-")</f>
        <v>-</v>
      </c>
      <c r="L84" s="444"/>
      <c r="M84" s="446" t="e">
        <f>IF(AND(C84&lt;0,ABS(C84)&gt;=2*E84),"검토 필요없음",IF(E84&lt;=$M$42,"OK","NG"))</f>
        <v>#DIV/0!</v>
      </c>
      <c r="N84" s="86"/>
      <c r="P84" s="4"/>
    </row>
    <row r="85">
      <c r="A85" s="187">
        <f>INPUT!D34</f>
        <v>101</v>
      </c>
      <c r="B85" s="191" t="str">
        <f>IF(INPUT!AR34&lt;=0,"Positive","Negative")</f>
        <v>Negative</v>
      </c>
      <c r="C85" s="191">
        <f>INPUT!CQ34</f>
        <v>0.64323709751425051</v>
      </c>
      <c r="D85" s="343">
        <f>INPUT!CR34</f>
        <v>-0.60512543551277931</v>
      </c>
      <c r="E85" s="191">
        <f>INPUT!CS34</f>
        <v>0.000649453098666768</v>
      </c>
      <c r="F85" s="191">
        <f>INPUT!CT34</f>
        <v>0.00072819558301501176</v>
      </c>
      <c r="G85" s="442" t="str">
        <f>IF(OR(INPUT!E34="Exterior Support",INPUT!E34="Interior Support",INPUT!E34="Cross Beam"),"X","O")</f>
        <v>X</v>
      </c>
      <c r="H85" s="442" t="str">
        <f>IF(OR(INPUT!E34="",INPUT!E34="Section Changed"),"O","X")</f>
        <v>X</v>
      </c>
      <c r="I85" s="446" t="e">
        <f>IF(H85="X",IF(MAX(E85,F85)&lt;=$M$38,"OK","NG"),"-")</f>
        <v>#DIV/0!</v>
      </c>
      <c r="J85" s="443"/>
      <c r="K85" s="446" t="str">
        <f>IF(G85="O",IF(AND(C85&lt;0,ABS(C85)&gt;=2*E85),"검토 필요없음",IF(E85&lt;=$M$40,"OK","NG")),"-")</f>
        <v>-</v>
      </c>
      <c r="L85" s="444"/>
      <c r="M85" s="446" t="e">
        <f>IF(AND(C85&lt;0,ABS(C85)&gt;=2*E85),"검토 필요없음",IF(E85&lt;=$M$42,"OK","NG"))</f>
        <v>#DIV/0!</v>
      </c>
      <c r="N85" s="86"/>
      <c r="P85" s="4"/>
    </row>
    <row r="86">
      <c r="A86" s="187">
        <f>INPUT!D35</f>
        <v>101</v>
      </c>
      <c r="B86" s="191" t="str">
        <f>IF(INPUT!AR35&lt;=0,"Positive","Negative")</f>
        <v>Negative</v>
      </c>
      <c r="C86" s="191">
        <f>INPUT!CQ35</f>
        <v>0.64323709751425051</v>
      </c>
      <c r="D86" s="343">
        <f>INPUT!CR35</f>
        <v>-0.60512543551277931</v>
      </c>
      <c r="E86" s="191">
        <f>INPUT!CS35</f>
        <v>0.000649453098666768</v>
      </c>
      <c r="F86" s="191">
        <f>INPUT!CT35</f>
        <v>0.00072819558301501176</v>
      </c>
      <c r="G86" s="442" t="str">
        <f>IF(OR(INPUT!E35="Exterior Support",INPUT!E35="Interior Support",INPUT!E35="Cross Beam"),"X","O")</f>
        <v>X</v>
      </c>
      <c r="H86" s="442" t="str">
        <f>IF(OR(INPUT!E35="",INPUT!E35="Section Changed"),"O","X")</f>
        <v>X</v>
      </c>
      <c r="I86" s="446" t="e">
        <f>IF(H86="X",IF(MAX(E86,F86)&lt;=$M$38,"OK","NG"),"-")</f>
        <v>#DIV/0!</v>
      </c>
      <c r="J86" s="443"/>
      <c r="K86" s="446" t="str">
        <f>IF(G86="O",IF(AND(C86&lt;0,ABS(C86)&gt;=2*E86),"검토 필요없음",IF(E86&lt;=$M$40,"OK","NG")),"-")</f>
        <v>-</v>
      </c>
      <c r="L86" s="444"/>
      <c r="M86" s="446" t="e">
        <f>IF(AND(C86&lt;0,ABS(C86)&gt;=2*E86),"검토 필요없음",IF(E86&lt;=$M$42,"OK","NG"))</f>
        <v>#DIV/0!</v>
      </c>
      <c r="N86" s="86"/>
      <c r="P86" s="4"/>
    </row>
    <row r="87">
      <c r="A87" s="187">
        <f>INPUT!D36</f>
        <v>101</v>
      </c>
      <c r="B87" s="191" t="str">
        <f>IF(INPUT!AR36&lt;=0,"Positive","Negative")</f>
        <v>Negative</v>
      </c>
      <c r="C87" s="191">
        <f>INPUT!CQ36</f>
        <v>0.64323709751425051</v>
      </c>
      <c r="D87" s="343">
        <f>INPUT!CR36</f>
        <v>-0.60512543551277931</v>
      </c>
      <c r="E87" s="191">
        <f>INPUT!CS36</f>
        <v>0.000649453098666768</v>
      </c>
      <c r="F87" s="191">
        <f>INPUT!CT36</f>
        <v>0.00072819558301501176</v>
      </c>
      <c r="G87" s="442" t="str">
        <f>IF(OR(INPUT!E36="Exterior Support",INPUT!E36="Interior Support",INPUT!E36="Cross Beam"),"X","O")</f>
        <v>X</v>
      </c>
      <c r="H87" s="442" t="str">
        <f>IF(OR(INPUT!E36="",INPUT!E36="Section Changed"),"O","X")</f>
        <v>X</v>
      </c>
      <c r="I87" s="446" t="e">
        <f>IF(H87="X",IF(MAX(E87,F87)&lt;=$M$38,"OK","NG"),"-")</f>
        <v>#DIV/0!</v>
      </c>
      <c r="J87" s="443"/>
      <c r="K87" s="446" t="str">
        <f>IF(G87="O",IF(AND(C87&lt;0,ABS(C87)&gt;=2*E87),"검토 필요없음",IF(E87&lt;=$M$40,"OK","NG")),"-")</f>
        <v>-</v>
      </c>
      <c r="L87" s="444"/>
      <c r="M87" s="446" t="e">
        <f>IF(AND(C87&lt;0,ABS(C87)&gt;=2*E87),"검토 필요없음",IF(E87&lt;=$M$42,"OK","NG"))</f>
        <v>#DIV/0!</v>
      </c>
      <c r="N87" s="86"/>
      <c r="P87" s="4"/>
    </row>
    <row r="88">
      <c r="A88" s="187">
        <f>INPUT!D37</f>
        <v>101</v>
      </c>
      <c r="B88" s="191" t="str">
        <f>IF(INPUT!AR37&lt;=0,"Positive","Negative")</f>
        <v>Negative</v>
      </c>
      <c r="C88" s="191">
        <f>INPUT!CQ37</f>
        <v>0.64323709751425051</v>
      </c>
      <c r="D88" s="343">
        <f>INPUT!CR37</f>
        <v>-0.60512543551277931</v>
      </c>
      <c r="E88" s="191">
        <f>INPUT!CS37</f>
        <v>0.000649453098666768</v>
      </c>
      <c r="F88" s="191">
        <f>INPUT!CT37</f>
        <v>0.00072819558301501176</v>
      </c>
      <c r="G88" s="442" t="str">
        <f>IF(OR(INPUT!E37="Exterior Support",INPUT!E37="Interior Support",INPUT!E37="Cross Beam"),"X","O")</f>
        <v>X</v>
      </c>
      <c r="H88" s="442" t="str">
        <f>IF(OR(INPUT!E37="",INPUT!E37="Section Changed"),"O","X")</f>
        <v>X</v>
      </c>
      <c r="I88" s="446" t="e">
        <f>IF(H88="X",IF(MAX(E88,F88)&lt;=$M$38,"OK","NG"),"-")</f>
        <v>#DIV/0!</v>
      </c>
      <c r="J88" s="443"/>
      <c r="K88" s="446" t="str">
        <f>IF(G88="O",IF(AND(C88&lt;0,ABS(C88)&gt;=2*E88),"검토 필요없음",IF(E88&lt;=$M$40,"OK","NG")),"-")</f>
        <v>-</v>
      </c>
      <c r="L88" s="444"/>
      <c r="M88" s="446" t="e">
        <f>IF(AND(C88&lt;0,ABS(C88)&gt;=2*E88),"검토 필요없음",IF(E88&lt;=$M$42,"OK","NG"))</f>
        <v>#DIV/0!</v>
      </c>
      <c r="N88" s="86"/>
      <c r="P88" s="4"/>
    </row>
    <row r="89">
      <c r="A89" s="187">
        <f>INPUT!D38</f>
        <v>101</v>
      </c>
      <c r="B89" s="191" t="str">
        <f>IF(INPUT!AR38&lt;=0,"Positive","Negative")</f>
        <v>Negative</v>
      </c>
      <c r="C89" s="191">
        <f>INPUT!CQ38</f>
        <v>0.64323709751425051</v>
      </c>
      <c r="D89" s="343">
        <f>INPUT!CR38</f>
        <v>-0.60512543551277931</v>
      </c>
      <c r="E89" s="191">
        <f>INPUT!CS38</f>
        <v>0.000649453098666768</v>
      </c>
      <c r="F89" s="191">
        <f>INPUT!CT38</f>
        <v>0.00072819558301501176</v>
      </c>
      <c r="G89" s="442" t="str">
        <f>IF(OR(INPUT!E38="Exterior Support",INPUT!E38="Interior Support",INPUT!E38="Cross Beam"),"X","O")</f>
        <v>X</v>
      </c>
      <c r="H89" s="442" t="str">
        <f>IF(OR(INPUT!E38="",INPUT!E38="Section Changed"),"O","X")</f>
        <v>X</v>
      </c>
      <c r="I89" s="446" t="e">
        <f>IF(H89="X",IF(MAX(E89,F89)&lt;=$M$38,"OK","NG"),"-")</f>
        <v>#DIV/0!</v>
      </c>
      <c r="J89" s="443"/>
      <c r="K89" s="446" t="str">
        <f>IF(G89="O",IF(AND(C89&lt;0,ABS(C89)&gt;=2*E89),"검토 필요없음",IF(E89&lt;=$M$40,"OK","NG")),"-")</f>
        <v>-</v>
      </c>
      <c r="L89" s="444"/>
      <c r="M89" s="446" t="e">
        <f>IF(AND(C89&lt;0,ABS(C89)&gt;=2*E89),"검토 필요없음",IF(E89&lt;=$M$42,"OK","NG"))</f>
        <v>#DIV/0!</v>
      </c>
      <c r="N89" s="86"/>
      <c r="P89" s="4"/>
    </row>
    <row r="90">
      <c r="A90" s="187">
        <f>INPUT!D39</f>
        <v>101</v>
      </c>
      <c r="B90" s="191" t="str">
        <f>IF(INPUT!AR39&lt;=0,"Positive","Negative")</f>
        <v>Negative</v>
      </c>
      <c r="C90" s="191">
        <f>INPUT!CQ39</f>
        <v>0.64323709751425051</v>
      </c>
      <c r="D90" s="343">
        <f>INPUT!CR39</f>
        <v>-0.60512543551277931</v>
      </c>
      <c r="E90" s="191">
        <f>INPUT!CS39</f>
        <v>0.000649453098666768</v>
      </c>
      <c r="F90" s="191">
        <f>INPUT!CT39</f>
        <v>0.00072819558301501176</v>
      </c>
      <c r="G90" s="442" t="str">
        <f>IF(OR(INPUT!E39="Exterior Support",INPUT!E39="Interior Support",INPUT!E39="Cross Beam"),"X","O")</f>
        <v>X</v>
      </c>
      <c r="H90" s="442" t="str">
        <f>IF(OR(INPUT!E39="",INPUT!E39="Section Changed"),"O","X")</f>
        <v>X</v>
      </c>
      <c r="I90" s="446" t="e">
        <f>IF(H90="X",IF(MAX(E90,F90)&lt;=$M$38,"OK","NG"),"-")</f>
        <v>#DIV/0!</v>
      </c>
      <c r="J90" s="443"/>
      <c r="K90" s="446" t="str">
        <f>IF(G90="O",IF(AND(C90&lt;0,ABS(C90)&gt;=2*E90),"검토 필요없음",IF(E90&lt;=$M$40,"OK","NG")),"-")</f>
        <v>-</v>
      </c>
      <c r="L90" s="444"/>
      <c r="M90" s="446" t="e">
        <f>IF(AND(C90&lt;0,ABS(C90)&gt;=2*E90),"검토 필요없음",IF(E90&lt;=$M$42,"OK","NG"))</f>
        <v>#DIV/0!</v>
      </c>
      <c r="N90" s="86"/>
      <c r="P90" s="4"/>
    </row>
    <row r="91">
      <c r="A91" s="187">
        <f>INPUT!D40</f>
        <v>101</v>
      </c>
      <c r="B91" s="191" t="str">
        <f>IF(INPUT!AR40&lt;=0,"Positive","Negative")</f>
        <v>Negative</v>
      </c>
      <c r="C91" s="191">
        <f>INPUT!CQ40</f>
        <v>0.64323709751425051</v>
      </c>
      <c r="D91" s="343">
        <f>INPUT!CR40</f>
        <v>-0.60512543551277931</v>
      </c>
      <c r="E91" s="191">
        <f>INPUT!CS40</f>
        <v>0.000649453098666768</v>
      </c>
      <c r="F91" s="191">
        <f>INPUT!CT40</f>
        <v>0.00072819558301501176</v>
      </c>
      <c r="G91" s="442" t="str">
        <f>IF(OR(INPUT!E40="Exterior Support",INPUT!E40="Interior Support",INPUT!E40="Cross Beam"),"X","O")</f>
        <v>X</v>
      </c>
      <c r="H91" s="442" t="str">
        <f>IF(OR(INPUT!E40="",INPUT!E40="Section Changed"),"O","X")</f>
        <v>X</v>
      </c>
      <c r="I91" s="446" t="e">
        <f>IF(H91="X",IF(MAX(E91,F91)&lt;=$M$38,"OK","NG"),"-")</f>
        <v>#DIV/0!</v>
      </c>
      <c r="J91" s="443"/>
      <c r="K91" s="446" t="str">
        <f>IF(G91="O",IF(AND(C91&lt;0,ABS(C91)&gt;=2*E91),"검토 필요없음",IF(E91&lt;=$M$40,"OK","NG")),"-")</f>
        <v>-</v>
      </c>
      <c r="L91" s="444"/>
      <c r="M91" s="446" t="e">
        <f>IF(AND(C91&lt;0,ABS(C91)&gt;=2*E91),"검토 필요없음",IF(E91&lt;=$M$42,"OK","NG"))</f>
        <v>#DIV/0!</v>
      </c>
      <c r="N91" s="86"/>
      <c r="P91" s="4"/>
    </row>
    <row r="92">
      <c r="A92" s="187">
        <f>INPUT!D41</f>
        <v>101</v>
      </c>
      <c r="B92" s="191" t="str">
        <f>IF(INPUT!AR41&lt;=0,"Positive","Negative")</f>
        <v>Negative</v>
      </c>
      <c r="C92" s="191">
        <f>INPUT!CQ41</f>
        <v>0.64323709751425051</v>
      </c>
      <c r="D92" s="343">
        <f>INPUT!CR41</f>
        <v>-0.60512543551277931</v>
      </c>
      <c r="E92" s="191">
        <f>INPUT!CS41</f>
        <v>0.000649453098666768</v>
      </c>
      <c r="F92" s="191">
        <f>INPUT!CT41</f>
        <v>0.00072819558301501176</v>
      </c>
      <c r="G92" s="442" t="str">
        <f>IF(OR(INPUT!E41="Exterior Support",INPUT!E41="Interior Support",INPUT!E41="Cross Beam"),"X","O")</f>
        <v>X</v>
      </c>
      <c r="H92" s="442" t="str">
        <f>IF(OR(INPUT!E41="",INPUT!E41="Section Changed"),"O","X")</f>
        <v>X</v>
      </c>
      <c r="I92" s="446" t="e">
        <f>IF(H92="X",IF(MAX(E92,F92)&lt;=$M$38,"OK","NG"),"-")</f>
        <v>#DIV/0!</v>
      </c>
      <c r="J92" s="443"/>
      <c r="K92" s="446" t="str">
        <f>IF(G92="O",IF(AND(C92&lt;0,ABS(C92)&gt;=2*E92),"검토 필요없음",IF(E92&lt;=$M$40,"OK","NG")),"-")</f>
        <v>-</v>
      </c>
      <c r="L92" s="444"/>
      <c r="M92" s="446" t="e">
        <f>IF(AND(C92&lt;0,ABS(C92)&gt;=2*E92),"검토 필요없음",IF(E92&lt;=$M$42,"OK","NG"))</f>
        <v>#DIV/0!</v>
      </c>
      <c r="N92" s="86"/>
      <c r="P92" s="4"/>
    </row>
    <row r="93">
      <c r="A93" s="187">
        <f>INPUT!D42</f>
        <v>101</v>
      </c>
      <c r="B93" s="191" t="str">
        <f>IF(INPUT!AR42&lt;=0,"Positive","Negative")</f>
        <v>Negative</v>
      </c>
      <c r="C93" s="191">
        <f>INPUT!CQ42</f>
        <v>0.64323709751425051</v>
      </c>
      <c r="D93" s="343">
        <f>INPUT!CR42</f>
        <v>-0.60512543551277931</v>
      </c>
      <c r="E93" s="191">
        <f>INPUT!CS42</f>
        <v>0.000649453098666768</v>
      </c>
      <c r="F93" s="191">
        <f>INPUT!CT42</f>
        <v>0.00072819558301501176</v>
      </c>
      <c r="G93" s="442" t="str">
        <f>IF(OR(INPUT!E42="Exterior Support",INPUT!E42="Interior Support",INPUT!E42="Cross Beam"),"X","O")</f>
        <v>X</v>
      </c>
      <c r="H93" s="442" t="str">
        <f>IF(OR(INPUT!E42="",INPUT!E42="Section Changed"),"O","X")</f>
        <v>X</v>
      </c>
      <c r="I93" s="446" t="e">
        <f>IF(H93="X",IF(MAX(E93,F93)&lt;=$M$38,"OK","NG"),"-")</f>
        <v>#DIV/0!</v>
      </c>
      <c r="J93" s="443"/>
      <c r="K93" s="446" t="str">
        <f>IF(G93="O",IF(AND(C93&lt;0,ABS(C93)&gt;=2*E93),"검토 필요없음",IF(E93&lt;=$M$40,"OK","NG")),"-")</f>
        <v>-</v>
      </c>
      <c r="L93" s="444"/>
      <c r="M93" s="446" t="e">
        <f>IF(AND(C93&lt;0,ABS(C93)&gt;=2*E93),"검토 필요없음",IF(E93&lt;=$M$42,"OK","NG"))</f>
        <v>#DIV/0!</v>
      </c>
      <c r="N93" s="86"/>
      <c r="P93" s="4"/>
    </row>
    <row r="94">
      <c r="A94" s="187">
        <f>INPUT!D43</f>
        <v>101</v>
      </c>
      <c r="B94" s="191" t="str">
        <f>IF(INPUT!AR43&lt;=0,"Positive","Negative")</f>
        <v>Negative</v>
      </c>
      <c r="C94" s="191">
        <f>INPUT!CQ43</f>
        <v>0.64323709751425051</v>
      </c>
      <c r="D94" s="343">
        <f>INPUT!CR43</f>
        <v>-0.60512543551277931</v>
      </c>
      <c r="E94" s="191">
        <f>INPUT!CS43</f>
        <v>0.000649453098666768</v>
      </c>
      <c r="F94" s="191">
        <f>INPUT!CT43</f>
        <v>0.00072819558301501176</v>
      </c>
      <c r="G94" s="442" t="str">
        <f>IF(OR(INPUT!E43="Exterior Support",INPUT!E43="Interior Support",INPUT!E43="Cross Beam"),"X","O")</f>
        <v>X</v>
      </c>
      <c r="H94" s="442" t="str">
        <f>IF(OR(INPUT!E43="",INPUT!E43="Section Changed"),"O","X")</f>
        <v>X</v>
      </c>
      <c r="I94" s="446" t="e">
        <f>IF(H94="X",IF(MAX(E94,F94)&lt;=$M$38,"OK","NG"),"-")</f>
        <v>#DIV/0!</v>
      </c>
      <c r="J94" s="443"/>
      <c r="K94" s="446" t="str">
        <f>IF(G94="O",IF(AND(C94&lt;0,ABS(C94)&gt;=2*E94),"검토 필요없음",IF(E94&lt;=$M$40,"OK","NG")),"-")</f>
        <v>-</v>
      </c>
      <c r="L94" s="444"/>
      <c r="M94" s="446" t="e">
        <f>IF(AND(C94&lt;0,ABS(C94)&gt;=2*E94),"검토 필요없음",IF(E94&lt;=$M$42,"OK","NG"))</f>
        <v>#DIV/0!</v>
      </c>
      <c r="N94" s="86"/>
      <c r="P94" s="4"/>
    </row>
    <row r="95">
      <c r="A95" s="187">
        <f>INPUT!D44</f>
        <v>101</v>
      </c>
      <c r="B95" s="191" t="str">
        <f>IF(INPUT!AR44&lt;=0,"Positive","Negative")</f>
        <v>Negative</v>
      </c>
      <c r="C95" s="191">
        <f>INPUT!CQ44</f>
        <v>0.64323709751425051</v>
      </c>
      <c r="D95" s="343">
        <f>INPUT!CR44</f>
        <v>-0.60512543551277931</v>
      </c>
      <c r="E95" s="191">
        <f>INPUT!CS44</f>
        <v>0.000649453098666768</v>
      </c>
      <c r="F95" s="191">
        <f>INPUT!CT44</f>
        <v>0.00072819558301501176</v>
      </c>
      <c r="G95" s="442" t="str">
        <f>IF(OR(INPUT!E44="Exterior Support",INPUT!E44="Interior Support",INPUT!E44="Cross Beam"),"X","O")</f>
        <v>X</v>
      </c>
      <c r="H95" s="442" t="str">
        <f>IF(OR(INPUT!E44="",INPUT!E44="Section Changed"),"O","X")</f>
        <v>X</v>
      </c>
      <c r="I95" s="446" t="e">
        <f>IF(H95="X",IF(MAX(E95,F95)&lt;=$M$38,"OK","NG"),"-")</f>
        <v>#DIV/0!</v>
      </c>
      <c r="J95" s="443"/>
      <c r="K95" s="446" t="str">
        <f>IF(G95="O",IF(AND(C95&lt;0,ABS(C95)&gt;=2*E95),"검토 필요없음",IF(E95&lt;=$M$40,"OK","NG")),"-")</f>
        <v>-</v>
      </c>
      <c r="L95" s="444"/>
      <c r="M95" s="446" t="e">
        <f>IF(AND(C95&lt;0,ABS(C95)&gt;=2*E95),"검토 필요없음",IF(E95&lt;=$M$42,"OK","NG"))</f>
        <v>#DIV/0!</v>
      </c>
      <c r="N95" s="86"/>
      <c r="P95" s="4"/>
    </row>
    <row r="96">
      <c r="A96" s="187">
        <f>INPUT!D45</f>
        <v>101</v>
      </c>
      <c r="B96" s="191" t="str">
        <f>IF(INPUT!AR45&lt;=0,"Positive","Negative")</f>
        <v>Negative</v>
      </c>
      <c r="C96" s="191">
        <f>INPUT!CQ45</f>
        <v>0.64323709751425051</v>
      </c>
      <c r="D96" s="343">
        <f>INPUT!CR45</f>
        <v>-0.60512543551277931</v>
      </c>
      <c r="E96" s="191">
        <f>INPUT!CS45</f>
        <v>0.000649453098666768</v>
      </c>
      <c r="F96" s="191">
        <f>INPUT!CT45</f>
        <v>0.00072819558301501176</v>
      </c>
      <c r="G96" s="442" t="str">
        <f>IF(OR(INPUT!E45="Exterior Support",INPUT!E45="Interior Support",INPUT!E45="Cross Beam"),"X","O")</f>
        <v>X</v>
      </c>
      <c r="H96" s="442" t="str">
        <f>IF(OR(INPUT!E45="",INPUT!E45="Section Changed"),"O","X")</f>
        <v>X</v>
      </c>
      <c r="I96" s="446" t="e">
        <f>IF(H96="X",IF(MAX(E96,F96)&lt;=$M$38,"OK","NG"),"-")</f>
        <v>#DIV/0!</v>
      </c>
      <c r="J96" s="443"/>
      <c r="K96" s="446" t="str">
        <f>IF(G96="O",IF(AND(C96&lt;0,ABS(C96)&gt;=2*E96),"검토 필요없음",IF(E96&lt;=$M$40,"OK","NG")),"-")</f>
        <v>-</v>
      </c>
      <c r="L96" s="444"/>
      <c r="M96" s="446" t="e">
        <f>IF(AND(C96&lt;0,ABS(C96)&gt;=2*E96),"검토 필요없음",IF(E96&lt;=$M$42,"OK","NG"))</f>
        <v>#DIV/0!</v>
      </c>
      <c r="N96" s="86"/>
      <c r="P96" s="4"/>
    </row>
    <row r="97">
      <c r="A97" s="187">
        <f>INPUT!D46</f>
        <v>101</v>
      </c>
      <c r="B97" s="191" t="str">
        <f>IF(INPUT!AR46&lt;=0,"Positive","Negative")</f>
        <v>Negative</v>
      </c>
      <c r="C97" s="191">
        <f>INPUT!CQ46</f>
        <v>0.64323709751425051</v>
      </c>
      <c r="D97" s="343">
        <f>INPUT!CR46</f>
        <v>-0.60512543551277931</v>
      </c>
      <c r="E97" s="191">
        <f>INPUT!CS46</f>
        <v>0.000649453098666768</v>
      </c>
      <c r="F97" s="191">
        <f>INPUT!CT46</f>
        <v>0.00072819558301501176</v>
      </c>
      <c r="G97" s="442" t="str">
        <f>IF(OR(INPUT!E46="Exterior Support",INPUT!E46="Interior Support",INPUT!E46="Cross Beam"),"X","O")</f>
        <v>X</v>
      </c>
      <c r="H97" s="442" t="str">
        <f>IF(OR(INPUT!E46="",INPUT!E46="Section Changed"),"O","X")</f>
        <v>X</v>
      </c>
      <c r="I97" s="446" t="e">
        <f>IF(H97="X",IF(MAX(E97,F97)&lt;=$M$38,"OK","NG"),"-")</f>
        <v>#DIV/0!</v>
      </c>
      <c r="J97" s="443"/>
      <c r="K97" s="446" t="str">
        <f>IF(G97="O",IF(AND(C97&lt;0,ABS(C97)&gt;=2*E97),"검토 필요없음",IF(E97&lt;=$M$40,"OK","NG")),"-")</f>
        <v>-</v>
      </c>
      <c r="L97" s="444"/>
      <c r="M97" s="446" t="e">
        <f>IF(AND(C97&lt;0,ABS(C97)&gt;=2*E97),"검토 필요없음",IF(E97&lt;=$M$42,"OK","NG"))</f>
        <v>#DIV/0!</v>
      </c>
      <c r="N97" s="86"/>
      <c r="P97" s="4"/>
    </row>
    <row r="98">
      <c r="A98" s="187">
        <f>INPUT!D47</f>
        <v>101</v>
      </c>
      <c r="B98" s="191" t="str">
        <f>IF(INPUT!AR47&lt;=0,"Positive","Negative")</f>
        <v>Negative</v>
      </c>
      <c r="C98" s="191">
        <f>INPUT!CQ47</f>
        <v>0.64323709751425051</v>
      </c>
      <c r="D98" s="343">
        <f>INPUT!CR47</f>
        <v>-0.60512543551277931</v>
      </c>
      <c r="E98" s="191">
        <f>INPUT!CS47</f>
        <v>0.000649453098666768</v>
      </c>
      <c r="F98" s="191">
        <f>INPUT!CT47</f>
        <v>0.00072819558301501176</v>
      </c>
      <c r="G98" s="442" t="str">
        <f>IF(OR(INPUT!E47="Exterior Support",INPUT!E47="Interior Support",INPUT!E47="Cross Beam"),"X","O")</f>
        <v>X</v>
      </c>
      <c r="H98" s="442" t="str">
        <f>IF(OR(INPUT!E47="",INPUT!E47="Section Changed"),"O","X")</f>
        <v>X</v>
      </c>
      <c r="I98" s="446" t="e">
        <f>IF(H98="X",IF(MAX(E98,F98)&lt;=$M$38,"OK","NG"),"-")</f>
        <v>#DIV/0!</v>
      </c>
      <c r="J98" s="443"/>
      <c r="K98" s="446" t="str">
        <f>IF(G98="O",IF(AND(C98&lt;0,ABS(C98)&gt;=2*E98),"검토 필요없음",IF(E98&lt;=$M$40,"OK","NG")),"-")</f>
        <v>-</v>
      </c>
      <c r="L98" s="444"/>
      <c r="M98" s="446" t="e">
        <f>IF(AND(C98&lt;0,ABS(C98)&gt;=2*E98),"검토 필요없음",IF(E98&lt;=$M$42,"OK","NG"))</f>
        <v>#DIV/0!</v>
      </c>
      <c r="N98" s="86"/>
      <c r="P98" s="4"/>
    </row>
    <row r="99">
      <c r="A99" s="187">
        <f>INPUT!D48</f>
        <v>101</v>
      </c>
      <c r="B99" s="191" t="str">
        <f>IF(INPUT!AR48&lt;=0,"Positive","Negative")</f>
        <v>Negative</v>
      </c>
      <c r="C99" s="191">
        <f>INPUT!CQ48</f>
        <v>0.64323709751425051</v>
      </c>
      <c r="D99" s="343">
        <f>INPUT!CR48</f>
        <v>-0.60512543551277931</v>
      </c>
      <c r="E99" s="191">
        <f>INPUT!CS48</f>
        <v>0.000649453098666768</v>
      </c>
      <c r="F99" s="191">
        <f>INPUT!CT48</f>
        <v>0.00072819558301501176</v>
      </c>
      <c r="G99" s="442" t="str">
        <f>IF(OR(INPUT!E48="Exterior Support",INPUT!E48="Interior Support",INPUT!E48="Cross Beam"),"X","O")</f>
        <v>X</v>
      </c>
      <c r="H99" s="442" t="str">
        <f>IF(OR(INPUT!E48="",INPUT!E48="Section Changed"),"O","X")</f>
        <v>X</v>
      </c>
      <c r="I99" s="446" t="e">
        <f>IF(H99="X",IF(MAX(E99,F99)&lt;=$M$38,"OK","NG"),"-")</f>
        <v>#DIV/0!</v>
      </c>
      <c r="J99" s="443"/>
      <c r="K99" s="446" t="str">
        <f>IF(G99="O",IF(AND(C99&lt;0,ABS(C99)&gt;=2*E99),"검토 필요없음",IF(E99&lt;=$M$40,"OK","NG")),"-")</f>
        <v>-</v>
      </c>
      <c r="L99" s="444"/>
      <c r="M99" s="446" t="e">
        <f>IF(AND(C99&lt;0,ABS(C99)&gt;=2*E99),"검토 필요없음",IF(E99&lt;=$M$42,"OK","NG"))</f>
        <v>#DIV/0!</v>
      </c>
      <c r="N99" s="86"/>
      <c r="P99" s="4"/>
    </row>
    <row r="100">
      <c r="A100" s="187">
        <f>INPUT!D49</f>
        <v>101</v>
      </c>
      <c r="B100" s="191" t="str">
        <f>IF(INPUT!AR49&lt;=0,"Positive","Negative")</f>
        <v>Negative</v>
      </c>
      <c r="C100" s="191">
        <f>INPUT!CQ49</f>
        <v>0.64323709751425051</v>
      </c>
      <c r="D100" s="343">
        <f>INPUT!CR49</f>
        <v>-0.60512543551277931</v>
      </c>
      <c r="E100" s="191">
        <f>INPUT!CS49</f>
        <v>0.000649453098666768</v>
      </c>
      <c r="F100" s="191">
        <f>INPUT!CT49</f>
        <v>0.00072819558301501176</v>
      </c>
      <c r="G100" s="442" t="str">
        <f>IF(OR(INPUT!E49="Exterior Support",INPUT!E49="Interior Support",INPUT!E49="Cross Beam"),"X","O")</f>
        <v>X</v>
      </c>
      <c r="H100" s="442" t="str">
        <f>IF(OR(INPUT!E49="",INPUT!E49="Section Changed"),"O","X")</f>
        <v>X</v>
      </c>
      <c r="I100" s="446" t="e">
        <f>IF(H100="X",IF(MAX(E100,F100)&lt;=$M$38,"OK","NG"),"-")</f>
        <v>#DIV/0!</v>
      </c>
      <c r="J100" s="443"/>
      <c r="K100" s="446" t="str">
        <f>IF(G100="O",IF(AND(C100&lt;0,ABS(C100)&gt;=2*E100),"검토 필요없음",IF(E100&lt;=$M$40,"OK","NG")),"-")</f>
        <v>-</v>
      </c>
      <c r="L100" s="444"/>
      <c r="M100" s="446" t="e">
        <f>IF(AND(C100&lt;0,ABS(C100)&gt;=2*E100),"검토 필요없음",IF(E100&lt;=$M$42,"OK","NG"))</f>
        <v>#DIV/0!</v>
      </c>
      <c r="N100" s="86"/>
      <c r="P100" s="4"/>
    </row>
    <row r="101">
      <c r="A101" s="187">
        <f>INPUT!D50</f>
        <v>101</v>
      </c>
      <c r="B101" s="191" t="str">
        <f>IF(INPUT!AR50&lt;=0,"Positive","Negative")</f>
        <v>Negative</v>
      </c>
      <c r="C101" s="191">
        <f>INPUT!CQ50</f>
        <v>0.64323709751425051</v>
      </c>
      <c r="D101" s="343">
        <f>INPUT!CR50</f>
        <v>-0.60512543551277931</v>
      </c>
      <c r="E101" s="191">
        <f>INPUT!CS50</f>
        <v>0.000649453098666768</v>
      </c>
      <c r="F101" s="191">
        <f>INPUT!CT50</f>
        <v>0.00072819558301501176</v>
      </c>
      <c r="G101" s="442" t="str">
        <f>IF(OR(INPUT!E50="Exterior Support",INPUT!E50="Interior Support",INPUT!E50="Cross Beam"),"X","O")</f>
        <v>X</v>
      </c>
      <c r="H101" s="442" t="str">
        <f>IF(OR(INPUT!E50="",INPUT!E50="Section Changed"),"O","X")</f>
        <v>X</v>
      </c>
      <c r="I101" s="446" t="e">
        <f>IF(H101="X",IF(MAX(E101,F101)&lt;=$M$38,"OK","NG"),"-")</f>
        <v>#DIV/0!</v>
      </c>
      <c r="J101" s="443"/>
      <c r="K101" s="446" t="str">
        <f>IF(G101="O",IF(AND(C101&lt;0,ABS(C101)&gt;=2*E101),"검토 필요없음",IF(E101&lt;=$M$40,"OK","NG")),"-")</f>
        <v>-</v>
      </c>
      <c r="L101" s="444"/>
      <c r="M101" s="446" t="e">
        <f>IF(AND(C101&lt;0,ABS(C101)&gt;=2*E101),"검토 필요없음",IF(E101&lt;=$M$42,"OK","NG"))</f>
        <v>#DIV/0!</v>
      </c>
      <c r="N101" s="86"/>
      <c r="P101" s="4"/>
    </row>
    <row r="102">
      <c r="A102" s="187">
        <f>INPUT!D51</f>
        <v>101</v>
      </c>
      <c r="B102" s="191" t="str">
        <f>IF(INPUT!AR51&lt;=0,"Positive","Negative")</f>
        <v>Negative</v>
      </c>
      <c r="C102" s="191">
        <f>INPUT!CQ51</f>
        <v>0.64323709751425051</v>
      </c>
      <c r="D102" s="343">
        <f>INPUT!CR51</f>
        <v>-0.60512543551277931</v>
      </c>
      <c r="E102" s="191">
        <f>INPUT!CS51</f>
        <v>0.000649453098666768</v>
      </c>
      <c r="F102" s="191">
        <f>INPUT!CT51</f>
        <v>0.00072819558301501176</v>
      </c>
      <c r="G102" s="442" t="str">
        <f>IF(OR(INPUT!E51="Exterior Support",INPUT!E51="Interior Support",INPUT!E51="Cross Beam"),"X","O")</f>
        <v>X</v>
      </c>
      <c r="H102" s="442" t="str">
        <f>IF(OR(INPUT!E51="",INPUT!E51="Section Changed"),"O","X")</f>
        <v>X</v>
      </c>
      <c r="I102" s="446" t="e">
        <f>IF(H102="X",IF(MAX(E102,F102)&lt;=$M$38,"OK","NG"),"-")</f>
        <v>#DIV/0!</v>
      </c>
      <c r="J102" s="443"/>
      <c r="K102" s="446" t="str">
        <f>IF(G102="O",IF(AND(C102&lt;0,ABS(C102)&gt;=2*E102),"검토 필요없음",IF(E102&lt;=$M$40,"OK","NG")),"-")</f>
        <v>-</v>
      </c>
      <c r="L102" s="444"/>
      <c r="M102" s="446" t="e">
        <f>IF(AND(C102&lt;0,ABS(C102)&gt;=2*E102),"검토 필요없음",IF(E102&lt;=$M$42,"OK","NG"))</f>
        <v>#DIV/0!</v>
      </c>
      <c r="N102" s="86"/>
      <c r="P102" s="4"/>
    </row>
    <row r="103">
      <c r="A103" s="187">
        <f>INPUT!D52</f>
        <v>101</v>
      </c>
      <c r="B103" s="191" t="str">
        <f>IF(INPUT!AR52&lt;=0,"Positive","Negative")</f>
        <v>Negative</v>
      </c>
      <c r="C103" s="191">
        <f>INPUT!CQ52</f>
        <v>0.64323709751425051</v>
      </c>
      <c r="D103" s="343">
        <f>INPUT!CR52</f>
        <v>-0.60512543551277931</v>
      </c>
      <c r="E103" s="191">
        <f>INPUT!CS52</f>
        <v>0.000649453098666768</v>
      </c>
      <c r="F103" s="191">
        <f>INPUT!CT52</f>
        <v>0.00072819558301501176</v>
      </c>
      <c r="G103" s="442" t="str">
        <f>IF(OR(INPUT!E52="Exterior Support",INPUT!E52="Interior Support",INPUT!E52="Cross Beam"),"X","O")</f>
        <v>X</v>
      </c>
      <c r="H103" s="442" t="str">
        <f>IF(OR(INPUT!E52="",INPUT!E52="Section Changed"),"O","X")</f>
        <v>X</v>
      </c>
      <c r="I103" s="446" t="e">
        <f>IF(H103="X",IF(MAX(E103,F103)&lt;=$M$38,"OK","NG"),"-")</f>
        <v>#DIV/0!</v>
      </c>
      <c r="J103" s="443"/>
      <c r="K103" s="446" t="str">
        <f>IF(G103="O",IF(AND(C103&lt;0,ABS(C103)&gt;=2*E103),"검토 필요없음",IF(E103&lt;=$M$40,"OK","NG")),"-")</f>
        <v>-</v>
      </c>
      <c r="L103" s="444"/>
      <c r="M103" s="446" t="e">
        <f>IF(AND(C103&lt;0,ABS(C103)&gt;=2*E103),"검토 필요없음",IF(E103&lt;=$M$42,"OK","NG"))</f>
        <v>#DIV/0!</v>
      </c>
      <c r="N103" s="86"/>
      <c r="P103" s="4"/>
    </row>
    <row r="104">
      <c r="A104" s="187">
        <f>INPUT!D53</f>
        <v>101</v>
      </c>
      <c r="B104" s="191" t="str">
        <f>IF(INPUT!AR53&lt;=0,"Positive","Negative")</f>
        <v>Negative</v>
      </c>
      <c r="C104" s="191">
        <f>INPUT!CQ53</f>
        <v>0.64323709751425051</v>
      </c>
      <c r="D104" s="343">
        <f>INPUT!CR53</f>
        <v>-0.60512543551277931</v>
      </c>
      <c r="E104" s="191">
        <f>INPUT!CS53</f>
        <v>0.000649453098666768</v>
      </c>
      <c r="F104" s="191">
        <f>INPUT!CT53</f>
        <v>0.00072819558301501176</v>
      </c>
      <c r="G104" s="442" t="str">
        <f>IF(OR(INPUT!E53="Exterior Support",INPUT!E53="Interior Support",INPUT!E53="Cross Beam"),"X","O")</f>
        <v>X</v>
      </c>
      <c r="H104" s="442" t="str">
        <f>IF(OR(INPUT!E53="",INPUT!E53="Section Changed"),"O","X")</f>
        <v>X</v>
      </c>
      <c r="I104" s="446" t="e">
        <f>IF(H104="X",IF(MAX(E104,F104)&lt;=$M$38,"OK","NG"),"-")</f>
        <v>#DIV/0!</v>
      </c>
      <c r="J104" s="443"/>
      <c r="K104" s="446" t="str">
        <f>IF(G104="O",IF(AND(C104&lt;0,ABS(C104)&gt;=2*E104),"검토 필요없음",IF(E104&lt;=$M$40,"OK","NG")),"-")</f>
        <v>-</v>
      </c>
      <c r="L104" s="444"/>
      <c r="M104" s="446" t="e">
        <f>IF(AND(C104&lt;0,ABS(C104)&gt;=2*E104),"검토 필요없음",IF(E104&lt;=$M$42,"OK","NG"))</f>
        <v>#DIV/0!</v>
      </c>
      <c r="N104" s="86"/>
      <c r="P104" s="4"/>
    </row>
    <row r="105">
      <c r="A105" s="187">
        <f>INPUT!D54</f>
        <v>101</v>
      </c>
      <c r="B105" s="191" t="str">
        <f>IF(INPUT!AR54&lt;=0,"Positive","Negative")</f>
        <v>Negative</v>
      </c>
      <c r="C105" s="191">
        <f>INPUT!CQ54</f>
        <v>0.64323709751425051</v>
      </c>
      <c r="D105" s="343">
        <f>INPUT!CR54</f>
        <v>-0.60512543551277931</v>
      </c>
      <c r="E105" s="191">
        <f>INPUT!CS54</f>
        <v>0.000649453098666768</v>
      </c>
      <c r="F105" s="191">
        <f>INPUT!CT54</f>
        <v>0.00072819558301501176</v>
      </c>
      <c r="G105" s="442" t="str">
        <f>IF(OR(INPUT!E54="Exterior Support",INPUT!E54="Interior Support",INPUT!E54="Cross Beam"),"X","O")</f>
        <v>X</v>
      </c>
      <c r="H105" s="442" t="str">
        <f>IF(OR(INPUT!E54="",INPUT!E54="Section Changed"),"O","X")</f>
        <v>X</v>
      </c>
      <c r="I105" s="446" t="e">
        <f>IF(H105="X",IF(MAX(E105,F105)&lt;=$M$38,"OK","NG"),"-")</f>
        <v>#DIV/0!</v>
      </c>
      <c r="J105" s="443"/>
      <c r="K105" s="446" t="str">
        <f>IF(G105="O",IF(AND(C105&lt;0,ABS(C105)&gt;=2*E105),"검토 필요없음",IF(E105&lt;=$M$40,"OK","NG")),"-")</f>
        <v>-</v>
      </c>
      <c r="L105" s="444"/>
      <c r="M105" s="446" t="e">
        <f>IF(AND(C105&lt;0,ABS(C105)&gt;=2*E105),"검토 필요없음",IF(E105&lt;=$M$42,"OK","NG"))</f>
        <v>#DIV/0!</v>
      </c>
      <c r="N105" s="86"/>
      <c r="P105" s="4"/>
    </row>
    <row r="106">
      <c r="A106" s="187">
        <f>INPUT!D55</f>
        <v>101</v>
      </c>
      <c r="B106" s="191" t="str">
        <f>IF(INPUT!AR55&lt;=0,"Positive","Negative")</f>
        <v>Negative</v>
      </c>
      <c r="C106" s="191">
        <f>INPUT!CQ55</f>
        <v>0.64323709751425051</v>
      </c>
      <c r="D106" s="343">
        <f>INPUT!CR55</f>
        <v>-0.60512543551277931</v>
      </c>
      <c r="E106" s="191">
        <f>INPUT!CS55</f>
        <v>0.000649453098666768</v>
      </c>
      <c r="F106" s="191">
        <f>INPUT!CT55</f>
        <v>0.00072819558301501176</v>
      </c>
      <c r="G106" s="442" t="str">
        <f>IF(OR(INPUT!E55="Exterior Support",INPUT!E55="Interior Support",INPUT!E55="Cross Beam"),"X","O")</f>
        <v>X</v>
      </c>
      <c r="H106" s="442" t="str">
        <f>IF(OR(INPUT!E55="",INPUT!E55="Section Changed"),"O","X")</f>
        <v>X</v>
      </c>
      <c r="I106" s="446" t="e">
        <f>IF(H106="X",IF(MAX(E106,F106)&lt;=$M$38,"OK","NG"),"-")</f>
        <v>#DIV/0!</v>
      </c>
      <c r="J106" s="443"/>
      <c r="K106" s="446" t="str">
        <f>IF(G106="O",IF(AND(C106&lt;0,ABS(C106)&gt;=2*E106),"검토 필요없음",IF(E106&lt;=$M$40,"OK","NG")),"-")</f>
        <v>-</v>
      </c>
      <c r="L106" s="444"/>
      <c r="M106" s="446" t="e">
        <f>IF(AND(C106&lt;0,ABS(C106)&gt;=2*E106),"검토 필요없음",IF(E106&lt;=$M$42,"OK","NG"))</f>
        <v>#DIV/0!</v>
      </c>
      <c r="N106" s="86"/>
      <c r="P106" s="4"/>
    </row>
    <row r="107">
      <c r="A107" s="187">
        <f>INPUT!D56</f>
        <v>101</v>
      </c>
      <c r="B107" s="191" t="str">
        <f>IF(INPUT!AR56&lt;=0,"Positive","Negative")</f>
        <v>Negative</v>
      </c>
      <c r="C107" s="191">
        <f>INPUT!CQ56</f>
        <v>0.64323709751425051</v>
      </c>
      <c r="D107" s="343">
        <f>INPUT!CR56</f>
        <v>-0.60512543551277931</v>
      </c>
      <c r="E107" s="191">
        <f>INPUT!CS56</f>
        <v>0.000649453098666768</v>
      </c>
      <c r="F107" s="191">
        <f>INPUT!CT56</f>
        <v>0.00072819558301501176</v>
      </c>
      <c r="G107" s="442" t="str">
        <f>IF(OR(INPUT!E56="Exterior Support",INPUT!E56="Interior Support",INPUT!E56="Cross Beam"),"X","O")</f>
        <v>X</v>
      </c>
      <c r="H107" s="442" t="str">
        <f>IF(OR(INPUT!E56="",INPUT!E56="Section Changed"),"O","X")</f>
        <v>X</v>
      </c>
      <c r="I107" s="446" t="e">
        <f>IF(H107="X",IF(MAX(E107,F107)&lt;=$M$38,"OK","NG"),"-")</f>
        <v>#DIV/0!</v>
      </c>
      <c r="J107" s="443"/>
      <c r="K107" s="446" t="str">
        <f>IF(G107="O",IF(AND(C107&lt;0,ABS(C107)&gt;=2*E107),"검토 필요없음",IF(E107&lt;=$M$40,"OK","NG")),"-")</f>
        <v>-</v>
      </c>
      <c r="L107" s="444"/>
      <c r="M107" s="446" t="e">
        <f>IF(AND(C107&lt;0,ABS(C107)&gt;=2*E107),"검토 필요없음",IF(E107&lt;=$M$42,"OK","NG"))</f>
        <v>#DIV/0!</v>
      </c>
      <c r="N107" s="86"/>
      <c r="P107" s="4"/>
    </row>
    <row r="108">
      <c r="A108" s="187">
        <f>INPUT!D57</f>
        <v>101</v>
      </c>
      <c r="B108" s="191" t="str">
        <f>IF(INPUT!AR57&lt;=0,"Positive","Negative")</f>
        <v>Negative</v>
      </c>
      <c r="C108" s="191">
        <f>INPUT!CQ57</f>
        <v>0.64323709751425051</v>
      </c>
      <c r="D108" s="343">
        <f>INPUT!CR57</f>
        <v>-0.60512543551277931</v>
      </c>
      <c r="E108" s="191">
        <f>INPUT!CS57</f>
        <v>0.000649453098666768</v>
      </c>
      <c r="F108" s="191">
        <f>INPUT!CT57</f>
        <v>0.00072819558301501176</v>
      </c>
      <c r="G108" s="442" t="str">
        <f>IF(OR(INPUT!E57="Exterior Support",INPUT!E57="Interior Support",INPUT!E57="Cross Beam"),"X","O")</f>
        <v>X</v>
      </c>
      <c r="H108" s="442" t="str">
        <f>IF(OR(INPUT!E57="",INPUT!E57="Section Changed"),"O","X")</f>
        <v>X</v>
      </c>
      <c r="I108" s="446" t="e">
        <f>IF(H108="X",IF(MAX(E108,F108)&lt;=$M$38,"OK","NG"),"-")</f>
        <v>#DIV/0!</v>
      </c>
      <c r="J108" s="443"/>
      <c r="K108" s="446" t="str">
        <f>IF(G108="O",IF(AND(C108&lt;0,ABS(C108)&gt;=2*E108),"검토 필요없음",IF(E108&lt;=$M$40,"OK","NG")),"-")</f>
        <v>-</v>
      </c>
      <c r="L108" s="444"/>
      <c r="M108" s="446" t="e">
        <f>IF(AND(C108&lt;0,ABS(C108)&gt;=2*E108),"검토 필요없음",IF(E108&lt;=$M$42,"OK","NG"))</f>
        <v>#DIV/0!</v>
      </c>
      <c r="N108" s="86"/>
      <c r="P108" s="4"/>
    </row>
    <row r="109">
      <c r="A109" s="187">
        <f>INPUT!D58</f>
        <v>101</v>
      </c>
      <c r="B109" s="191" t="str">
        <f>IF(INPUT!AR58&lt;=0,"Positive","Negative")</f>
        <v>Negative</v>
      </c>
      <c r="C109" s="191">
        <f>INPUT!CQ58</f>
        <v>0.64323709751425051</v>
      </c>
      <c r="D109" s="343">
        <f>INPUT!CR58</f>
        <v>-0.60512543551277931</v>
      </c>
      <c r="E109" s="191">
        <f>INPUT!CS58</f>
        <v>0.000649453098666768</v>
      </c>
      <c r="F109" s="191">
        <f>INPUT!CT58</f>
        <v>0.00072819558301501176</v>
      </c>
      <c r="G109" s="442" t="str">
        <f>IF(OR(INPUT!E58="Exterior Support",INPUT!E58="Interior Support",INPUT!E58="Cross Beam"),"X","O")</f>
        <v>X</v>
      </c>
      <c r="H109" s="442" t="str">
        <f>IF(OR(INPUT!E58="",INPUT!E58="Section Changed"),"O","X")</f>
        <v>X</v>
      </c>
      <c r="I109" s="446" t="e">
        <f>IF(H109="X",IF(MAX(E109,F109)&lt;=$M$38,"OK","NG"),"-")</f>
        <v>#DIV/0!</v>
      </c>
      <c r="J109" s="443"/>
      <c r="K109" s="446" t="str">
        <f>IF(G109="O",IF(AND(C109&lt;0,ABS(C109)&gt;=2*E109),"검토 필요없음",IF(E109&lt;=$M$40,"OK","NG")),"-")</f>
        <v>-</v>
      </c>
      <c r="L109" s="444"/>
      <c r="M109" s="446" t="e">
        <f>IF(AND(C109&lt;0,ABS(C109)&gt;=2*E109),"검토 필요없음",IF(E109&lt;=$M$42,"OK","NG"))</f>
        <v>#DIV/0!</v>
      </c>
      <c r="N109" s="86"/>
      <c r="P109" s="4"/>
    </row>
    <row r="110">
      <c r="A110" s="187">
        <f>INPUT!D59</f>
        <v>101</v>
      </c>
      <c r="B110" s="191" t="str">
        <f>IF(INPUT!AR59&lt;=0,"Positive","Negative")</f>
        <v>Negative</v>
      </c>
      <c r="C110" s="191">
        <f>INPUT!CQ59</f>
        <v>0.64323709751425051</v>
      </c>
      <c r="D110" s="343">
        <f>INPUT!CR59</f>
        <v>-0.60512543551277931</v>
      </c>
      <c r="E110" s="191">
        <f>INPUT!CS59</f>
        <v>0.000649453098666768</v>
      </c>
      <c r="F110" s="191">
        <f>INPUT!CT59</f>
        <v>0.00072819558301501176</v>
      </c>
      <c r="G110" s="442" t="str">
        <f>IF(OR(INPUT!E59="Exterior Support",INPUT!E59="Interior Support",INPUT!E59="Cross Beam"),"X","O")</f>
        <v>X</v>
      </c>
      <c r="H110" s="442" t="str">
        <f>IF(OR(INPUT!E59="",INPUT!E59="Section Changed"),"O","X")</f>
        <v>X</v>
      </c>
      <c r="I110" s="446" t="e">
        <f>IF(H110="X",IF(MAX(E110,F110)&lt;=$M$38,"OK","NG"),"-")</f>
        <v>#DIV/0!</v>
      </c>
      <c r="J110" s="443"/>
      <c r="K110" s="446" t="str">
        <f>IF(G110="O",IF(AND(C110&lt;0,ABS(C110)&gt;=2*E110),"검토 필요없음",IF(E110&lt;=$M$40,"OK","NG")),"-")</f>
        <v>-</v>
      </c>
      <c r="L110" s="444"/>
      <c r="M110" s="446" t="e">
        <f>IF(AND(C110&lt;0,ABS(C110)&gt;=2*E110),"검토 필요없음",IF(E110&lt;=$M$42,"OK","NG"))</f>
        <v>#DIV/0!</v>
      </c>
      <c r="N110" s="86"/>
      <c r="P110" s="4"/>
    </row>
    <row r="111">
      <c r="A111" s="187">
        <f>INPUT!D60</f>
        <v>101</v>
      </c>
      <c r="B111" s="191" t="str">
        <f>IF(INPUT!AR60&lt;=0,"Positive","Negative")</f>
        <v>Negative</v>
      </c>
      <c r="C111" s="191">
        <f>INPUT!CQ60</f>
        <v>0.64323709751425051</v>
      </c>
      <c r="D111" s="343">
        <f>INPUT!CR60</f>
        <v>-0.60512543551277931</v>
      </c>
      <c r="E111" s="191">
        <f>INPUT!CS60</f>
        <v>0.000649453098666768</v>
      </c>
      <c r="F111" s="191">
        <f>INPUT!CT60</f>
        <v>0.00072819558301501176</v>
      </c>
      <c r="G111" s="442" t="str">
        <f>IF(OR(INPUT!E60="Exterior Support",INPUT!E60="Interior Support",INPUT!E60="Cross Beam"),"X","O")</f>
        <v>X</v>
      </c>
      <c r="H111" s="442" t="str">
        <f>IF(OR(INPUT!E60="",INPUT!E60="Section Changed"),"O","X")</f>
        <v>X</v>
      </c>
      <c r="I111" s="446" t="e">
        <f>IF(H111="X",IF(MAX(E111,F111)&lt;=$M$38,"OK","NG"),"-")</f>
        <v>#DIV/0!</v>
      </c>
      <c r="J111" s="443"/>
      <c r="K111" s="446" t="str">
        <f>IF(G111="O",IF(AND(C111&lt;0,ABS(C111)&gt;=2*E111),"검토 필요없음",IF(E111&lt;=$M$40,"OK","NG")),"-")</f>
        <v>-</v>
      </c>
      <c r="L111" s="444"/>
      <c r="M111" s="446" t="e">
        <f>IF(AND(C111&lt;0,ABS(C111)&gt;=2*E111),"검토 필요없음",IF(E111&lt;=$M$42,"OK","NG"))</f>
        <v>#DIV/0!</v>
      </c>
      <c r="N111" s="86"/>
      <c r="P111" s="4"/>
    </row>
    <row r="112">
      <c r="A112" s="187">
        <f>INPUT!D61</f>
        <v>101</v>
      </c>
      <c r="B112" s="191" t="str">
        <f>IF(INPUT!AR61&lt;=0,"Positive","Negative")</f>
        <v>Negative</v>
      </c>
      <c r="C112" s="191">
        <f>INPUT!CQ61</f>
        <v>0.64323709751425051</v>
      </c>
      <c r="D112" s="343">
        <f>INPUT!CR61</f>
        <v>-0.60512543551277931</v>
      </c>
      <c r="E112" s="191">
        <f>INPUT!CS61</f>
        <v>0.000649453098666768</v>
      </c>
      <c r="F112" s="191">
        <f>INPUT!CT61</f>
        <v>0.00072819558301501176</v>
      </c>
      <c r="G112" s="442" t="str">
        <f>IF(OR(INPUT!E61="Exterior Support",INPUT!E61="Interior Support",INPUT!E61="Cross Beam"),"X","O")</f>
        <v>X</v>
      </c>
      <c r="H112" s="442" t="str">
        <f>IF(OR(INPUT!E61="",INPUT!E61="Section Changed"),"O","X")</f>
        <v>X</v>
      </c>
      <c r="I112" s="446" t="e">
        <f>IF(H112="X",IF(MAX(E112,F112)&lt;=$M$38,"OK","NG"),"-")</f>
        <v>#DIV/0!</v>
      </c>
      <c r="J112" s="443"/>
      <c r="K112" s="446" t="str">
        <f>IF(G112="O",IF(AND(C112&lt;0,ABS(C112)&gt;=2*E112),"검토 필요없음",IF(E112&lt;=$M$40,"OK","NG")),"-")</f>
        <v>-</v>
      </c>
      <c r="L112" s="444"/>
      <c r="M112" s="446" t="e">
        <f>IF(AND(C112&lt;0,ABS(C112)&gt;=2*E112),"검토 필요없음",IF(E112&lt;=$M$42,"OK","NG"))</f>
        <v>#DIV/0!</v>
      </c>
      <c r="N112" s="86"/>
      <c r="P112" s="4"/>
    </row>
    <row r="113">
      <c r="A113" s="187">
        <f>INPUT!D62</f>
        <v>101</v>
      </c>
      <c r="B113" s="191" t="str">
        <f>IF(INPUT!AR62&lt;=0,"Positive","Negative")</f>
        <v>Negative</v>
      </c>
      <c r="C113" s="191">
        <f>INPUT!CQ62</f>
        <v>0.64323709751425051</v>
      </c>
      <c r="D113" s="343">
        <f>INPUT!CR62</f>
        <v>-0.60512543551277931</v>
      </c>
      <c r="E113" s="191">
        <f>INPUT!CS62</f>
        <v>0.000649453098666768</v>
      </c>
      <c r="F113" s="191">
        <f>INPUT!CT62</f>
        <v>0.00072819558301501176</v>
      </c>
      <c r="G113" s="442" t="str">
        <f>IF(OR(INPUT!E62="Exterior Support",INPUT!E62="Interior Support",INPUT!E62="Cross Beam"),"X","O")</f>
        <v>X</v>
      </c>
      <c r="H113" s="442" t="str">
        <f>IF(OR(INPUT!E62="",INPUT!E62="Section Changed"),"O","X")</f>
        <v>X</v>
      </c>
      <c r="I113" s="446" t="e">
        <f>IF(H113="X",IF(MAX(E113,F113)&lt;=$M$38,"OK","NG"),"-")</f>
        <v>#DIV/0!</v>
      </c>
      <c r="J113" s="443"/>
      <c r="K113" s="446" t="str">
        <f>IF(G113="O",IF(AND(C113&lt;0,ABS(C113)&gt;=2*E113),"검토 필요없음",IF(E113&lt;=$M$40,"OK","NG")),"-")</f>
        <v>-</v>
      </c>
      <c r="L113" s="444"/>
      <c r="M113" s="446" t="e">
        <f>IF(AND(C113&lt;0,ABS(C113)&gt;=2*E113),"검토 필요없음",IF(E113&lt;=$M$42,"OK","NG"))</f>
        <v>#DIV/0!</v>
      </c>
      <c r="N113" s="86"/>
      <c r="P113" s="4"/>
    </row>
    <row r="114">
      <c r="A114" s="187">
        <f>INPUT!D63</f>
        <v>101</v>
      </c>
      <c r="B114" s="191" t="str">
        <f>IF(INPUT!AR63&lt;=0,"Positive","Negative")</f>
        <v>Negative</v>
      </c>
      <c r="C114" s="191">
        <f>INPUT!CQ63</f>
        <v>0.64323709751425051</v>
      </c>
      <c r="D114" s="343">
        <f>INPUT!CR63</f>
        <v>-0.60512543551277931</v>
      </c>
      <c r="E114" s="191">
        <f>INPUT!CS63</f>
        <v>0.000649453098666768</v>
      </c>
      <c r="F114" s="191">
        <f>INPUT!CT63</f>
        <v>0.00072819558301501176</v>
      </c>
      <c r="G114" s="442" t="str">
        <f>IF(OR(INPUT!E63="Exterior Support",INPUT!E63="Interior Support",INPUT!E63="Cross Beam"),"X","O")</f>
        <v>X</v>
      </c>
      <c r="H114" s="442" t="str">
        <f>IF(OR(INPUT!E63="",INPUT!E63="Section Changed"),"O","X")</f>
        <v>X</v>
      </c>
      <c r="I114" s="446" t="e">
        <f>IF(H114="X",IF(MAX(E114,F114)&lt;=$M$38,"OK","NG"),"-")</f>
        <v>#DIV/0!</v>
      </c>
      <c r="J114" s="443"/>
      <c r="K114" s="446" t="str">
        <f>IF(G114="O",IF(AND(C114&lt;0,ABS(C114)&gt;=2*E114),"검토 필요없음",IF(E114&lt;=$M$40,"OK","NG")),"-")</f>
        <v>-</v>
      </c>
      <c r="L114" s="444"/>
      <c r="M114" s="446" t="e">
        <f>IF(AND(C114&lt;0,ABS(C114)&gt;=2*E114),"검토 필요없음",IF(E114&lt;=$M$42,"OK","NG"))</f>
        <v>#DIV/0!</v>
      </c>
      <c r="N114" s="86"/>
      <c r="P114" s="4"/>
    </row>
    <row r="115">
      <c r="A115" s="187">
        <f>INPUT!D64</f>
        <v>101</v>
      </c>
      <c r="B115" s="191" t="str">
        <f>IF(INPUT!AR64&lt;=0,"Positive","Negative")</f>
        <v>Negative</v>
      </c>
      <c r="C115" s="191">
        <f>INPUT!CQ64</f>
        <v>0.64323709751425051</v>
      </c>
      <c r="D115" s="343">
        <f>INPUT!CR64</f>
        <v>-0.60512543551277931</v>
      </c>
      <c r="E115" s="191">
        <f>INPUT!CS64</f>
        <v>0.000649453098666768</v>
      </c>
      <c r="F115" s="191">
        <f>INPUT!CT64</f>
        <v>0.00072819558301501176</v>
      </c>
      <c r="G115" s="442" t="str">
        <f>IF(OR(INPUT!E64="Exterior Support",INPUT!E64="Interior Support",INPUT!E64="Cross Beam"),"X","O")</f>
        <v>X</v>
      </c>
      <c r="H115" s="442" t="str">
        <f>IF(OR(INPUT!E64="",INPUT!E64="Section Changed"),"O","X")</f>
        <v>X</v>
      </c>
      <c r="I115" s="446" t="e">
        <f>IF(H115="X",IF(MAX(E115,F115)&lt;=$M$38,"OK","NG"),"-")</f>
        <v>#DIV/0!</v>
      </c>
      <c r="J115" s="443"/>
      <c r="K115" s="446" t="str">
        <f>IF(G115="O",IF(AND(C115&lt;0,ABS(C115)&gt;=2*E115),"검토 필요없음",IF(E115&lt;=$M$40,"OK","NG")),"-")</f>
        <v>-</v>
      </c>
      <c r="L115" s="444"/>
      <c r="M115" s="446" t="e">
        <f>IF(AND(C115&lt;0,ABS(C115)&gt;=2*E115),"검토 필요없음",IF(E115&lt;=$M$42,"OK","NG"))</f>
        <v>#DIV/0!</v>
      </c>
      <c r="N115" s="86"/>
      <c r="P115" s="4"/>
    </row>
    <row r="116">
      <c r="A116" s="187">
        <f>INPUT!D65</f>
        <v>101</v>
      </c>
      <c r="B116" s="191" t="str">
        <f>IF(INPUT!AR65&lt;=0,"Positive","Negative")</f>
        <v>Negative</v>
      </c>
      <c r="C116" s="191">
        <f>INPUT!CQ65</f>
        <v>0.64323709751425051</v>
      </c>
      <c r="D116" s="343">
        <f>INPUT!CR65</f>
        <v>-0.60512543551277931</v>
      </c>
      <c r="E116" s="191">
        <f>INPUT!CS65</f>
        <v>0.000649453098666768</v>
      </c>
      <c r="F116" s="191">
        <f>INPUT!CT65</f>
        <v>0.00072819558301501176</v>
      </c>
      <c r="G116" s="442" t="str">
        <f>IF(OR(INPUT!E65="Exterior Support",INPUT!E65="Interior Support",INPUT!E65="Cross Beam"),"X","O")</f>
        <v>X</v>
      </c>
      <c r="H116" s="442" t="str">
        <f>IF(OR(INPUT!E65="",INPUT!E65="Section Changed"),"O","X")</f>
        <v>X</v>
      </c>
      <c r="I116" s="446" t="e">
        <f>IF(H116="X",IF(MAX(E116,F116)&lt;=$M$38,"OK","NG"),"-")</f>
        <v>#DIV/0!</v>
      </c>
      <c r="J116" s="443"/>
      <c r="K116" s="446" t="str">
        <f>IF(G116="O",IF(AND(C116&lt;0,ABS(C116)&gt;=2*E116),"검토 필요없음",IF(E116&lt;=$M$40,"OK","NG")),"-")</f>
        <v>-</v>
      </c>
      <c r="L116" s="444"/>
      <c r="M116" s="446" t="e">
        <f>IF(AND(C116&lt;0,ABS(C116)&gt;=2*E116),"검토 필요없음",IF(E116&lt;=$M$42,"OK","NG"))</f>
        <v>#DIV/0!</v>
      </c>
      <c r="N116" s="86"/>
      <c r="P116" s="4"/>
    </row>
    <row r="117">
      <c r="A117" s="187">
        <f>INPUT!D66</f>
        <v>101</v>
      </c>
      <c r="B117" s="191" t="str">
        <f>IF(INPUT!AR66&lt;=0,"Positive","Negative")</f>
        <v>Negative</v>
      </c>
      <c r="C117" s="191">
        <f>INPUT!CQ66</f>
        <v>0.64323709751425051</v>
      </c>
      <c r="D117" s="343">
        <f>INPUT!CR66</f>
        <v>-0.60512543551277931</v>
      </c>
      <c r="E117" s="191">
        <f>INPUT!CS66</f>
        <v>0.000649453098666768</v>
      </c>
      <c r="F117" s="191">
        <f>INPUT!CT66</f>
        <v>0.00072819558301501176</v>
      </c>
      <c r="G117" s="442" t="str">
        <f>IF(OR(INPUT!E66="Exterior Support",INPUT!E66="Interior Support",INPUT!E66="Cross Beam"),"X","O")</f>
        <v>X</v>
      </c>
      <c r="H117" s="442" t="str">
        <f>IF(OR(INPUT!E66="",INPUT!E66="Section Changed"),"O","X")</f>
        <v>X</v>
      </c>
      <c r="I117" s="446" t="e">
        <f>IF(H117="X",IF(MAX(E117,F117)&lt;=$M$38,"OK","NG"),"-")</f>
        <v>#DIV/0!</v>
      </c>
      <c r="J117" s="443"/>
      <c r="K117" s="446" t="str">
        <f>IF(G117="O",IF(AND(C117&lt;0,ABS(C117)&gt;=2*E117),"검토 필요없음",IF(E117&lt;=$M$40,"OK","NG")),"-")</f>
        <v>-</v>
      </c>
      <c r="L117" s="444"/>
      <c r="M117" s="446" t="e">
        <f>IF(AND(C117&lt;0,ABS(C117)&gt;=2*E117),"검토 필요없음",IF(E117&lt;=$M$42,"OK","NG"))</f>
        <v>#DIV/0!</v>
      </c>
      <c r="N117" s="86"/>
      <c r="P117" s="4"/>
    </row>
    <row r="118">
      <c r="A118" s="187">
        <f>INPUT!D67</f>
        <v>101</v>
      </c>
      <c r="B118" s="191" t="str">
        <f>IF(INPUT!AR67&lt;=0,"Positive","Negative")</f>
        <v>Negative</v>
      </c>
      <c r="C118" s="191">
        <f>INPUT!CQ67</f>
        <v>0.64323709751425051</v>
      </c>
      <c r="D118" s="343">
        <f>INPUT!CR67</f>
        <v>-0.60512543551277931</v>
      </c>
      <c r="E118" s="191">
        <f>INPUT!CS67</f>
        <v>0.000649453098666768</v>
      </c>
      <c r="F118" s="191">
        <f>INPUT!CT67</f>
        <v>0.00072819558301501176</v>
      </c>
      <c r="G118" s="442" t="str">
        <f>IF(OR(INPUT!E67="Exterior Support",INPUT!E67="Interior Support",INPUT!E67="Cross Beam"),"X","O")</f>
        <v>X</v>
      </c>
      <c r="H118" s="442" t="str">
        <f>IF(OR(INPUT!E67="",INPUT!E67="Section Changed"),"O","X")</f>
        <v>X</v>
      </c>
      <c r="I118" s="446" t="e">
        <f>IF(H118="X",IF(MAX(E118,F118)&lt;=$M$38,"OK","NG"),"-")</f>
        <v>#DIV/0!</v>
      </c>
      <c r="J118" s="443"/>
      <c r="K118" s="446" t="str">
        <f>IF(G118="O",IF(AND(C118&lt;0,ABS(C118)&gt;=2*E118),"검토 필요없음",IF(E118&lt;=$M$40,"OK","NG")),"-")</f>
        <v>-</v>
      </c>
      <c r="L118" s="444"/>
      <c r="M118" s="446" t="e">
        <f>IF(AND(C118&lt;0,ABS(C118)&gt;=2*E118),"검토 필요없음",IF(E118&lt;=$M$42,"OK","NG"))</f>
        <v>#DIV/0!</v>
      </c>
      <c r="N118" s="86"/>
      <c r="P118" s="4"/>
    </row>
    <row r="119">
      <c r="A119" s="187">
        <f>INPUT!D68</f>
        <v>101</v>
      </c>
      <c r="B119" s="191" t="str">
        <f>IF(INPUT!AR68&lt;=0,"Positive","Negative")</f>
        <v>Negative</v>
      </c>
      <c r="C119" s="191">
        <f>INPUT!CQ68</f>
        <v>0.64323709751425051</v>
      </c>
      <c r="D119" s="343">
        <f>INPUT!CR68</f>
        <v>-0.60512543551277931</v>
      </c>
      <c r="E119" s="191">
        <f>INPUT!CS68</f>
        <v>0.000649453098666768</v>
      </c>
      <c r="F119" s="191">
        <f>INPUT!CT68</f>
        <v>0.00072819558301501176</v>
      </c>
      <c r="G119" s="442" t="str">
        <f>IF(OR(INPUT!E68="Exterior Support",INPUT!E68="Interior Support",INPUT!E68="Cross Beam"),"X","O")</f>
        <v>X</v>
      </c>
      <c r="H119" s="442" t="str">
        <f>IF(OR(INPUT!E68="",INPUT!E68="Section Changed"),"O","X")</f>
        <v>X</v>
      </c>
      <c r="I119" s="446" t="e">
        <f>IF(H119="X",IF(MAX(E119,F119)&lt;=$M$38,"OK","NG"),"-")</f>
        <v>#DIV/0!</v>
      </c>
      <c r="J119" s="443"/>
      <c r="K119" s="446" t="str">
        <f>IF(G119="O",IF(AND(C119&lt;0,ABS(C119)&gt;=2*E119),"검토 필요없음",IF(E119&lt;=$M$40,"OK","NG")),"-")</f>
        <v>-</v>
      </c>
      <c r="L119" s="444"/>
      <c r="M119" s="446" t="e">
        <f>IF(AND(C119&lt;0,ABS(C119)&gt;=2*E119),"검토 필요없음",IF(E119&lt;=$M$42,"OK","NG"))</f>
        <v>#DIV/0!</v>
      </c>
      <c r="N119" s="86"/>
      <c r="P119" s="4"/>
    </row>
    <row r="120">
      <c r="A120" s="187">
        <f>INPUT!D69</f>
        <v>101</v>
      </c>
      <c r="B120" s="191" t="str">
        <f>IF(INPUT!AR69&lt;=0,"Positive","Negative")</f>
        <v>Negative</v>
      </c>
      <c r="C120" s="191">
        <f>INPUT!CQ69</f>
        <v>0.64323709751425051</v>
      </c>
      <c r="D120" s="343">
        <f>INPUT!CR69</f>
        <v>-0.60512543551277931</v>
      </c>
      <c r="E120" s="191">
        <f>INPUT!CS69</f>
        <v>0.000649453098666768</v>
      </c>
      <c r="F120" s="191">
        <f>INPUT!CT69</f>
        <v>0.00072819558301501176</v>
      </c>
      <c r="G120" s="442" t="str">
        <f>IF(OR(INPUT!E69="Exterior Support",INPUT!E69="Interior Support",INPUT!E69="Cross Beam"),"X","O")</f>
        <v>X</v>
      </c>
      <c r="H120" s="442" t="str">
        <f>IF(OR(INPUT!E69="",INPUT!E69="Section Changed"),"O","X")</f>
        <v>X</v>
      </c>
      <c r="I120" s="446" t="e">
        <f>IF(H120="X",IF(MAX(E120,F120)&lt;=$M$38,"OK","NG"),"-")</f>
        <v>#DIV/0!</v>
      </c>
      <c r="J120" s="443"/>
      <c r="K120" s="446" t="str">
        <f>IF(G120="O",IF(AND(C120&lt;0,ABS(C120)&gt;=2*E120),"검토 필요없음",IF(E120&lt;=$M$40,"OK","NG")),"-")</f>
        <v>-</v>
      </c>
      <c r="L120" s="444"/>
      <c r="M120" s="446" t="e">
        <f>IF(AND(C120&lt;0,ABS(C120)&gt;=2*E120),"검토 필요없음",IF(E120&lt;=$M$42,"OK","NG"))</f>
        <v>#DIV/0!</v>
      </c>
      <c r="N120" s="86"/>
      <c r="P120" s="4"/>
    </row>
    <row r="121">
      <c r="A121" s="187">
        <f>INPUT!D70</f>
        <v>101</v>
      </c>
      <c r="B121" s="191" t="str">
        <f>IF(INPUT!AR70&lt;=0,"Positive","Negative")</f>
        <v>Negative</v>
      </c>
      <c r="C121" s="191">
        <f>INPUT!CQ70</f>
        <v>0.64323709751425051</v>
      </c>
      <c r="D121" s="343">
        <f>INPUT!CR70</f>
        <v>-0.60512543551277931</v>
      </c>
      <c r="E121" s="191">
        <f>INPUT!CS70</f>
        <v>0.000649453098666768</v>
      </c>
      <c r="F121" s="191">
        <f>INPUT!CT70</f>
        <v>0.00072819558301501176</v>
      </c>
      <c r="G121" s="442" t="str">
        <f>IF(OR(INPUT!E70="Exterior Support",INPUT!E70="Interior Support",INPUT!E70="Cross Beam"),"X","O")</f>
        <v>X</v>
      </c>
      <c r="H121" s="442" t="str">
        <f>IF(OR(INPUT!E70="",INPUT!E70="Section Changed"),"O","X")</f>
        <v>X</v>
      </c>
      <c r="I121" s="446" t="e">
        <f>IF(H121="X",IF(MAX(E121,F121)&lt;=$M$38,"OK","NG"),"-")</f>
        <v>#DIV/0!</v>
      </c>
      <c r="J121" s="443"/>
      <c r="K121" s="446" t="str">
        <f>IF(G121="O",IF(AND(C121&lt;0,ABS(C121)&gt;=2*E121),"검토 필요없음",IF(E121&lt;=$M$40,"OK","NG")),"-")</f>
        <v>-</v>
      </c>
      <c r="L121" s="444"/>
      <c r="M121" s="446" t="e">
        <f>IF(AND(C121&lt;0,ABS(C121)&gt;=2*E121),"검토 필요없음",IF(E121&lt;=$M$42,"OK","NG"))</f>
        <v>#DIV/0!</v>
      </c>
      <c r="N121" s="86"/>
      <c r="P121" s="4"/>
    </row>
    <row r="122">
      <c r="A122" s="187">
        <f>INPUT!D71</f>
        <v>101</v>
      </c>
      <c r="B122" s="191" t="str">
        <f>IF(INPUT!AR71&lt;=0,"Positive","Negative")</f>
        <v>Negative</v>
      </c>
      <c r="C122" s="191">
        <f>INPUT!CQ71</f>
        <v>0.64323709751425051</v>
      </c>
      <c r="D122" s="343">
        <f>INPUT!CR71</f>
        <v>-0.60512543551277931</v>
      </c>
      <c r="E122" s="191">
        <f>INPUT!CS71</f>
        <v>0.000649453098666768</v>
      </c>
      <c r="F122" s="191">
        <f>INPUT!CT71</f>
        <v>0.00072819558301501176</v>
      </c>
      <c r="G122" s="442" t="str">
        <f>IF(OR(INPUT!E71="Exterior Support",INPUT!E71="Interior Support",INPUT!E71="Cross Beam"),"X","O")</f>
        <v>X</v>
      </c>
      <c r="H122" s="442" t="str">
        <f>IF(OR(INPUT!E71="",INPUT!E71="Section Changed"),"O","X")</f>
        <v>X</v>
      </c>
      <c r="I122" s="446" t="e">
        <f>IF(H122="X",IF(MAX(E122,F122)&lt;=$M$38,"OK","NG"),"-")</f>
        <v>#DIV/0!</v>
      </c>
      <c r="J122" s="443"/>
      <c r="K122" s="446" t="str">
        <f>IF(G122="O",IF(AND(C122&lt;0,ABS(C122)&gt;=2*E122),"검토 필요없음",IF(E122&lt;=$M$40,"OK","NG")),"-")</f>
        <v>-</v>
      </c>
      <c r="L122" s="444"/>
      <c r="M122" s="446" t="e">
        <f>IF(AND(C122&lt;0,ABS(C122)&gt;=2*E122),"검토 필요없음",IF(E122&lt;=$M$42,"OK","NG"))</f>
        <v>#DIV/0!</v>
      </c>
      <c r="N122" s="86"/>
      <c r="P122" s="4"/>
    </row>
    <row r="123">
      <c r="A123" s="187">
        <f>INPUT!D72</f>
        <v>101</v>
      </c>
      <c r="B123" s="191" t="str">
        <f>IF(INPUT!AR72&lt;=0,"Positive","Negative")</f>
        <v>Negative</v>
      </c>
      <c r="C123" s="191">
        <f>INPUT!CQ72</f>
        <v>0.64323709751425051</v>
      </c>
      <c r="D123" s="343">
        <f>INPUT!CR72</f>
        <v>-0.60512543551277931</v>
      </c>
      <c r="E123" s="191">
        <f>INPUT!CS72</f>
        <v>0.000649453098666768</v>
      </c>
      <c r="F123" s="191">
        <f>INPUT!CT72</f>
        <v>0.00072819558301501176</v>
      </c>
      <c r="G123" s="442" t="str">
        <f>IF(OR(INPUT!E72="Exterior Support",INPUT!E72="Interior Support",INPUT!E72="Cross Beam"),"X","O")</f>
        <v>X</v>
      </c>
      <c r="H123" s="442" t="str">
        <f>IF(OR(INPUT!E72="",INPUT!E72="Section Changed"),"O","X")</f>
        <v>X</v>
      </c>
      <c r="I123" s="446" t="e">
        <f>IF(H123="X",IF(MAX(E123,F123)&lt;=$M$38,"OK","NG"),"-")</f>
        <v>#DIV/0!</v>
      </c>
      <c r="J123" s="443"/>
      <c r="K123" s="446" t="str">
        <f>IF(G123="O",IF(AND(C123&lt;0,ABS(C123)&gt;=2*E123),"검토 필요없음",IF(E123&lt;=$M$40,"OK","NG")),"-")</f>
        <v>-</v>
      </c>
      <c r="L123" s="444"/>
      <c r="M123" s="446" t="e">
        <f>IF(AND(C123&lt;0,ABS(C123)&gt;=2*E123),"검토 필요없음",IF(E123&lt;=$M$42,"OK","NG"))</f>
        <v>#DIV/0!</v>
      </c>
      <c r="N123" s="86"/>
      <c r="P123" s="4"/>
    </row>
    <row r="124">
      <c r="A124" s="187">
        <f>INPUT!D73</f>
        <v>101</v>
      </c>
      <c r="B124" s="191" t="str">
        <f>IF(INPUT!AR73&lt;=0,"Positive","Negative")</f>
        <v>Negative</v>
      </c>
      <c r="C124" s="191">
        <f>INPUT!CQ73</f>
        <v>0.64323709751425051</v>
      </c>
      <c r="D124" s="343">
        <f>INPUT!CR73</f>
        <v>-0.60512543551277931</v>
      </c>
      <c r="E124" s="191">
        <f>INPUT!CS73</f>
        <v>0.000649453098666768</v>
      </c>
      <c r="F124" s="191">
        <f>INPUT!CT73</f>
        <v>0.00072819558301501176</v>
      </c>
      <c r="G124" s="442" t="str">
        <f>IF(OR(INPUT!E73="Exterior Support",INPUT!E73="Interior Support",INPUT!E73="Cross Beam"),"X","O")</f>
        <v>X</v>
      </c>
      <c r="H124" s="442" t="str">
        <f>IF(OR(INPUT!E73="",INPUT!E73="Section Changed"),"O","X")</f>
        <v>X</v>
      </c>
      <c r="I124" s="446" t="e">
        <f>IF(H124="X",IF(MAX(E124,F124)&lt;=$M$38,"OK","NG"),"-")</f>
        <v>#DIV/0!</v>
      </c>
      <c r="J124" s="443"/>
      <c r="K124" s="446" t="str">
        <f>IF(G124="O",IF(AND(C124&lt;0,ABS(C124)&gt;=2*E124),"검토 필요없음",IF(E124&lt;=$M$40,"OK","NG")),"-")</f>
        <v>-</v>
      </c>
      <c r="L124" s="444"/>
      <c r="M124" s="446" t="e">
        <f>IF(AND(C124&lt;0,ABS(C124)&gt;=2*E124),"검토 필요없음",IF(E124&lt;=$M$42,"OK","NG"))</f>
        <v>#DIV/0!</v>
      </c>
      <c r="N124" s="86"/>
      <c r="P124" s="4"/>
    </row>
    <row r="125">
      <c r="A125" s="187">
        <f>INPUT!D74</f>
        <v>101</v>
      </c>
      <c r="B125" s="191" t="str">
        <f>IF(INPUT!AR74&lt;=0,"Positive","Negative")</f>
        <v>Negative</v>
      </c>
      <c r="C125" s="191">
        <f>INPUT!CQ74</f>
        <v>0.64323709751425051</v>
      </c>
      <c r="D125" s="343">
        <f>INPUT!CR74</f>
        <v>-0.60512543551277931</v>
      </c>
      <c r="E125" s="191">
        <f>INPUT!CS74</f>
        <v>0.000649453098666768</v>
      </c>
      <c r="F125" s="191">
        <f>INPUT!CT74</f>
        <v>0.00072819558301501176</v>
      </c>
      <c r="G125" s="442" t="str">
        <f>IF(OR(INPUT!E74="Exterior Support",INPUT!E74="Interior Support",INPUT!E74="Cross Beam"),"X","O")</f>
        <v>X</v>
      </c>
      <c r="H125" s="442" t="str">
        <f>IF(OR(INPUT!E74="",INPUT!E74="Section Changed"),"O","X")</f>
        <v>X</v>
      </c>
      <c r="I125" s="446" t="e">
        <f>IF(H125="X",IF(MAX(E125,F125)&lt;=$M$38,"OK","NG"),"-")</f>
        <v>#DIV/0!</v>
      </c>
      <c r="J125" s="443"/>
      <c r="K125" s="446" t="str">
        <f>IF(G125="O",IF(AND(C125&lt;0,ABS(C125)&gt;=2*E125),"검토 필요없음",IF(E125&lt;=$M$40,"OK","NG")),"-")</f>
        <v>-</v>
      </c>
      <c r="L125" s="444"/>
      <c r="M125" s="446" t="e">
        <f>IF(AND(C125&lt;0,ABS(C125)&gt;=2*E125),"검토 필요없음",IF(E125&lt;=$M$42,"OK","NG"))</f>
        <v>#DIV/0!</v>
      </c>
      <c r="N125" s="86"/>
      <c r="P125" s="4"/>
    </row>
    <row r="126">
      <c r="A126" s="187">
        <f>INPUT!D75</f>
        <v>101</v>
      </c>
      <c r="B126" s="191" t="str">
        <f>IF(INPUT!AR75&lt;=0,"Positive","Negative")</f>
        <v>Negative</v>
      </c>
      <c r="C126" s="191">
        <f>INPUT!CQ75</f>
        <v>0.64323709751425051</v>
      </c>
      <c r="D126" s="343">
        <f>INPUT!CR75</f>
        <v>-0.60512543551277931</v>
      </c>
      <c r="E126" s="191">
        <f>INPUT!CS75</f>
        <v>0.000649453098666768</v>
      </c>
      <c r="F126" s="191">
        <f>INPUT!CT75</f>
        <v>0.00072819558301501176</v>
      </c>
      <c r="G126" s="442" t="str">
        <f>IF(OR(INPUT!E75="Exterior Support",INPUT!E75="Interior Support",INPUT!E75="Cross Beam"),"X","O")</f>
        <v>X</v>
      </c>
      <c r="H126" s="442" t="str">
        <f>IF(OR(INPUT!E75="",INPUT!E75="Section Changed"),"O","X")</f>
        <v>X</v>
      </c>
      <c r="I126" s="446" t="e">
        <f>IF(H126="X",IF(MAX(E126,F126)&lt;=$M$38,"OK","NG"),"-")</f>
        <v>#DIV/0!</v>
      </c>
      <c r="J126" s="443"/>
      <c r="K126" s="446" t="str">
        <f>IF(G126="O",IF(AND(C126&lt;0,ABS(C126)&gt;=2*E126),"검토 필요없음",IF(E126&lt;=$M$40,"OK","NG")),"-")</f>
        <v>-</v>
      </c>
      <c r="L126" s="444"/>
      <c r="M126" s="446" t="e">
        <f>IF(AND(C126&lt;0,ABS(C126)&gt;=2*E126),"검토 필요없음",IF(E126&lt;=$M$42,"OK","NG"))</f>
        <v>#DIV/0!</v>
      </c>
      <c r="N126" s="86"/>
      <c r="P126" s="4"/>
    </row>
    <row r="127">
      <c r="A127" s="187">
        <f>INPUT!D76</f>
        <v>101</v>
      </c>
      <c r="B127" s="191" t="str">
        <f>IF(INPUT!AR76&lt;=0,"Positive","Negative")</f>
        <v>Negative</v>
      </c>
      <c r="C127" s="191">
        <f>INPUT!CQ76</f>
        <v>0.64323709751425051</v>
      </c>
      <c r="D127" s="343">
        <f>INPUT!CR76</f>
        <v>-0.60512543551277931</v>
      </c>
      <c r="E127" s="191">
        <f>INPUT!CS76</f>
        <v>0.000649453098666768</v>
      </c>
      <c r="F127" s="191">
        <f>INPUT!CT76</f>
        <v>0.00072819558301501176</v>
      </c>
      <c r="G127" s="442" t="str">
        <f>IF(OR(INPUT!E76="Exterior Support",INPUT!E76="Interior Support",INPUT!E76="Cross Beam"),"X","O")</f>
        <v>X</v>
      </c>
      <c r="H127" s="442" t="str">
        <f>IF(OR(INPUT!E76="",INPUT!E76="Section Changed"),"O","X")</f>
        <v>X</v>
      </c>
      <c r="I127" s="446" t="e">
        <f>IF(H127="X",IF(MAX(E127,F127)&lt;=$M$38,"OK","NG"),"-")</f>
        <v>#DIV/0!</v>
      </c>
      <c r="J127" s="443"/>
      <c r="K127" s="446" t="str">
        <f>IF(G127="O",IF(AND(C127&lt;0,ABS(C127)&gt;=2*E127),"검토 필요없음",IF(E127&lt;=$M$40,"OK","NG")),"-")</f>
        <v>-</v>
      </c>
      <c r="L127" s="444"/>
      <c r="M127" s="446" t="e">
        <f>IF(AND(C127&lt;0,ABS(C127)&gt;=2*E127),"검토 필요없음",IF(E127&lt;=$M$42,"OK","NG"))</f>
        <v>#DIV/0!</v>
      </c>
      <c r="N127" s="86"/>
      <c r="P127" s="4"/>
    </row>
    <row r="128">
      <c r="A128" s="187">
        <f>INPUT!D77</f>
        <v>101</v>
      </c>
      <c r="B128" s="191" t="str">
        <f>IF(INPUT!AR77&lt;=0,"Positive","Negative")</f>
        <v>Negative</v>
      </c>
      <c r="C128" s="191">
        <f>INPUT!CQ77</f>
        <v>0.64323709751425051</v>
      </c>
      <c r="D128" s="343">
        <f>INPUT!CR77</f>
        <v>-0.60512543551277931</v>
      </c>
      <c r="E128" s="191">
        <f>INPUT!CS77</f>
        <v>0.000649453098666768</v>
      </c>
      <c r="F128" s="191">
        <f>INPUT!CT77</f>
        <v>0.00072819558301501176</v>
      </c>
      <c r="G128" s="442" t="str">
        <f>IF(OR(INPUT!E77="Exterior Support",INPUT!E77="Interior Support",INPUT!E77="Cross Beam"),"X","O")</f>
        <v>X</v>
      </c>
      <c r="H128" s="442" t="str">
        <f>IF(OR(INPUT!E77="",INPUT!E77="Section Changed"),"O","X")</f>
        <v>X</v>
      </c>
      <c r="I128" s="446" t="e">
        <f>IF(H128="X",IF(MAX(E128,F128)&lt;=$M$38,"OK","NG"),"-")</f>
        <v>#DIV/0!</v>
      </c>
      <c r="J128" s="443"/>
      <c r="K128" s="446" t="str">
        <f>IF(G128="O",IF(AND(C128&lt;0,ABS(C128)&gt;=2*E128),"검토 필요없음",IF(E128&lt;=$M$40,"OK","NG")),"-")</f>
        <v>-</v>
      </c>
      <c r="L128" s="444"/>
      <c r="M128" s="446" t="e">
        <f>IF(AND(C128&lt;0,ABS(C128)&gt;=2*E128),"검토 필요없음",IF(E128&lt;=$M$42,"OK","NG"))</f>
        <v>#DIV/0!</v>
      </c>
      <c r="N128" s="86"/>
      <c r="P128" s="4"/>
    </row>
    <row r="129">
      <c r="A129" s="187">
        <f>INPUT!D78</f>
        <v>101</v>
      </c>
      <c r="B129" s="191" t="str">
        <f>IF(INPUT!AR78&lt;=0,"Positive","Negative")</f>
        <v>Negative</v>
      </c>
      <c r="C129" s="191">
        <f>INPUT!CQ78</f>
        <v>0.64323709751425051</v>
      </c>
      <c r="D129" s="343">
        <f>INPUT!CR78</f>
        <v>-0.60512543551277931</v>
      </c>
      <c r="E129" s="191">
        <f>INPUT!CS78</f>
        <v>0.000649453098666768</v>
      </c>
      <c r="F129" s="191">
        <f>INPUT!CT78</f>
        <v>0.00072819558301501176</v>
      </c>
      <c r="G129" s="442" t="str">
        <f>IF(OR(INPUT!E78="Exterior Support",INPUT!E78="Interior Support",INPUT!E78="Cross Beam"),"X","O")</f>
        <v>X</v>
      </c>
      <c r="H129" s="442" t="str">
        <f>IF(OR(INPUT!E78="",INPUT!E78="Section Changed"),"O","X")</f>
        <v>X</v>
      </c>
      <c r="I129" s="446" t="e">
        <f>IF(H129="X",IF(MAX(E129,F129)&lt;=$M$38,"OK","NG"),"-")</f>
        <v>#DIV/0!</v>
      </c>
      <c r="J129" s="443"/>
      <c r="K129" s="446" t="str">
        <f>IF(G129="O",IF(AND(C129&lt;0,ABS(C129)&gt;=2*E129),"검토 필요없음",IF(E129&lt;=$M$40,"OK","NG")),"-")</f>
        <v>-</v>
      </c>
      <c r="L129" s="444"/>
      <c r="M129" s="446" t="e">
        <f>IF(AND(C129&lt;0,ABS(C129)&gt;=2*E129),"검토 필요없음",IF(E129&lt;=$M$42,"OK","NG"))</f>
        <v>#DIV/0!</v>
      </c>
      <c r="N129" s="86"/>
      <c r="P129" s="4"/>
    </row>
    <row r="130" ht="15" customHeight="1" s="4" customFormat="1">
      <c r="A130" s="372"/>
      <c r="B130" s="372"/>
      <c r="N130" s="372"/>
      <c r="O130" s="296"/>
      <c r="AB130" s="412"/>
    </row>
    <row r="131" ht="15" customHeight="1" s="4" customFormat="1">
      <c r="A131" s="372"/>
      <c r="B131" s="372"/>
      <c r="N131" s="372"/>
      <c r="O131" s="296"/>
      <c r="AB131" s="412"/>
    </row>
    <row r="132" ht="15" customHeight="1" s="4" customFormat="1">
      <c r="A132" s="372"/>
      <c r="B132" s="372"/>
      <c r="N132" s="372"/>
      <c r="O132" s="296"/>
      <c r="AB132" s="412"/>
    </row>
    <row r="133" ht="15" customHeight="1" s="4" customFormat="1">
      <c r="A133" s="39" t="s">
        <v>1121</v>
      </c>
      <c r="L133" s="372"/>
      <c r="N133" s="68" t="s">
        <v>1122</v>
      </c>
      <c r="O133" s="296"/>
      <c r="X133" s="372"/>
      <c r="Z133" s="372"/>
      <c r="AP133" s="30"/>
    </row>
    <row r="134" ht="15" customHeight="1" s="4" customFormat="1">
      <c r="A134" s="372"/>
      <c r="B134" s="372"/>
      <c r="C134" s="19"/>
      <c r="N134" s="372"/>
      <c r="O134" s="296"/>
      <c r="AB134" s="412"/>
    </row>
    <row r="135" ht="20.1" customHeight="1" s="366" customFormat="1">
      <c r="A135" s="40"/>
      <c r="B135" s="19"/>
      <c r="C135" s="41"/>
      <c r="D135" s="42"/>
      <c r="E135" s="43" t="s">
        <v>1066</v>
      </c>
      <c r="F135" s="42"/>
      <c r="G135" s="44"/>
      <c r="H135" s="45"/>
      <c r="I135" s="4"/>
      <c r="J135" s="4"/>
      <c r="K135" s="4"/>
      <c r="L135" s="372"/>
      <c r="M135" s="4"/>
      <c r="N135" s="65"/>
      <c r="O135" s="383"/>
    </row>
    <row r="136" ht="20.1" customHeight="1" s="366" customFormat="1">
      <c r="A136" s="40"/>
      <c r="B136" s="373" t="s">
        <v>171</v>
      </c>
      <c r="C136" s="81"/>
      <c r="D136" s="80"/>
      <c r="E136" s="441"/>
      <c r="F136" s="80"/>
      <c r="G136" s="402"/>
      <c r="H136" s="80"/>
      <c r="I136" s="4"/>
      <c r="J136" s="4"/>
      <c r="K136" s="4"/>
      <c r="L136" s="372"/>
      <c r="M136" s="4"/>
      <c r="N136" s="65"/>
      <c r="O136" s="383"/>
    </row>
    <row r="137" ht="15" customHeight="1" s="4" customFormat="1">
      <c r="B137" s="375" t="s">
        <v>197</v>
      </c>
      <c r="C137" s="4" t="s">
        <v>521</v>
      </c>
      <c r="D137" s="30" t="s">
        <v>173</v>
      </c>
      <c r="E137" s="4" t="s">
        <v>1123</v>
      </c>
      <c r="N137" s="372"/>
      <c r="O137" s="296"/>
      <c r="AB137" s="412"/>
    </row>
    <row r="138" ht="15" customHeight="1" s="4" customFormat="1">
      <c r="A138" s="372"/>
      <c r="C138" s="429" t="s">
        <v>1000</v>
      </c>
      <c r="D138" s="30" t="s">
        <v>173</v>
      </c>
      <c r="E138" s="4" t="s">
        <v>1124</v>
      </c>
      <c r="N138" s="372"/>
      <c r="O138" s="296"/>
      <c r="AB138" s="412"/>
    </row>
    <row r="139" ht="15" customHeight="1" s="4" customFormat="1">
      <c r="A139" s="372"/>
      <c r="C139" s="4" t="s">
        <v>519</v>
      </c>
      <c r="D139" s="30" t="s">
        <v>173</v>
      </c>
      <c r="E139" s="4" t="s">
        <v>1125</v>
      </c>
      <c r="N139" s="372"/>
      <c r="O139" s="296"/>
      <c r="AB139" s="412"/>
    </row>
    <row r="140" ht="15" customHeight="1" s="4" customFormat="1">
      <c r="A140" s="372"/>
      <c r="C140" s="4" t="s">
        <v>1126</v>
      </c>
      <c r="D140" s="30" t="s">
        <v>173</v>
      </c>
      <c r="E140" s="4" t="s">
        <v>1127</v>
      </c>
      <c r="N140" s="372"/>
      <c r="O140" s="296"/>
      <c r="AB140" s="412"/>
    </row>
    <row r="141" ht="15" customHeight="1" s="4" customFormat="1">
      <c r="A141" s="372"/>
      <c r="C141" s="4" t="s">
        <v>1128</v>
      </c>
      <c r="D141" s="30" t="s">
        <v>173</v>
      </c>
      <c r="E141" s="4" t="s">
        <v>1129</v>
      </c>
      <c r="N141" s="372"/>
      <c r="O141" s="296"/>
      <c r="AB141" s="412"/>
    </row>
    <row r="142" ht="15" customHeight="1" s="4" customFormat="1">
      <c r="A142" s="372"/>
      <c r="B142" s="372"/>
      <c r="N142" s="372"/>
      <c r="O142" s="296"/>
      <c r="AB142" s="412"/>
    </row>
    <row r="143" ht="15" customHeight="1" s="4" customFormat="1">
      <c r="A143" s="372"/>
      <c r="B143" s="375" t="s">
        <v>197</v>
      </c>
      <c r="C143" s="4" t="s">
        <v>509</v>
      </c>
      <c r="D143" s="105"/>
      <c r="E143" s="19"/>
      <c r="F143" s="105"/>
      <c r="G143" s="105"/>
      <c r="H143" s="105"/>
      <c r="N143" s="68" t="s">
        <v>977</v>
      </c>
      <c r="O143" s="296"/>
      <c r="X143" s="372"/>
      <c r="Z143" s="372"/>
    </row>
    <row r="144" ht="20.1" customHeight="1" s="4" customFormat="1">
      <c r="A144" s="372"/>
      <c r="B144" s="372"/>
      <c r="C144" s="46" t="s">
        <v>163</v>
      </c>
      <c r="D144" s="47"/>
      <c r="E144" s="46"/>
      <c r="F144" s="46"/>
      <c r="G144" s="46"/>
      <c r="H144" s="47"/>
      <c r="I144" s="46" t="s">
        <v>510</v>
      </c>
      <c r="J144" s="47"/>
      <c r="K144" s="47"/>
      <c r="L144" s="47"/>
      <c r="O144" s="296"/>
      <c r="X144" s="372"/>
    </row>
    <row r="145" ht="20.1" customHeight="1" s="4" customFormat="1">
      <c r="A145" s="372"/>
      <c r="B145" s="372"/>
      <c r="C145" s="4" t="s">
        <v>511</v>
      </c>
      <c r="I145" s="54">
        <v>1</v>
      </c>
      <c r="O145" s="296"/>
      <c r="X145" s="372"/>
    </row>
    <row r="146" ht="20.1" customHeight="1" s="4" customFormat="1">
      <c r="A146" s="372"/>
      <c r="B146" s="372"/>
      <c r="C146" s="4" t="s">
        <v>512</v>
      </c>
      <c r="E146" s="19"/>
      <c r="I146" s="4" t="s">
        <v>513</v>
      </c>
      <c r="O146" s="296"/>
      <c r="X146" s="372"/>
    </row>
    <row r="147" ht="20.1" customHeight="1" s="4" customFormat="1">
      <c r="A147" s="372"/>
      <c r="B147" s="372"/>
      <c r="C147" s="22" t="s">
        <v>514</v>
      </c>
      <c r="D147" s="22"/>
      <c r="E147" s="22"/>
      <c r="F147" s="22"/>
      <c r="G147" s="22"/>
      <c r="H147" s="22"/>
      <c r="I147" s="22" t="s">
        <v>1130</v>
      </c>
      <c r="J147" s="22"/>
      <c r="K147" s="22"/>
      <c r="L147" s="22"/>
      <c r="O147" s="296"/>
      <c r="X147" s="372"/>
    </row>
    <row r="148" ht="15" customHeight="1" s="4" customFormat="1">
      <c r="A148" s="372"/>
      <c r="B148" s="372"/>
      <c r="O148" s="296"/>
      <c r="X148" s="372"/>
    </row>
    <row r="149" ht="15" customHeight="1" s="4" customFormat="1">
      <c r="B149" s="375" t="s">
        <v>197</v>
      </c>
      <c r="C149" s="4" t="s">
        <v>1131</v>
      </c>
      <c r="D149" s="105"/>
      <c r="E149" s="19"/>
      <c r="F149" s="105"/>
      <c r="G149" s="105"/>
      <c r="H149" s="105"/>
      <c r="O149" s="296"/>
      <c r="P149" s="430" t="s">
        <v>1132</v>
      </c>
      <c r="Q149" s="16"/>
      <c r="R149" s="16"/>
      <c r="S149" s="16"/>
      <c r="T149" s="16"/>
      <c r="U149" s="16"/>
      <c r="V149" s="16"/>
      <c r="W149" s="16"/>
      <c r="X149" s="16"/>
      <c r="Y149" s="17"/>
    </row>
    <row r="150" ht="20.1" customHeight="1" s="4" customFormat="1">
      <c r="C150" s="46" t="s">
        <v>163</v>
      </c>
      <c r="D150" s="47"/>
      <c r="E150" s="46"/>
      <c r="F150" s="46"/>
      <c r="G150" s="46"/>
      <c r="H150" s="47"/>
      <c r="I150" s="46" t="s">
        <v>334</v>
      </c>
      <c r="J150" s="47"/>
      <c r="K150" s="47"/>
      <c r="L150" s="47"/>
      <c r="O150" s="296"/>
      <c r="P150" s="431" t="s">
        <v>1133</v>
      </c>
      <c r="Y150" s="86"/>
    </row>
    <row r="151" ht="20.1" customHeight="1" s="4" customFormat="1">
      <c r="C151" s="4" t="s">
        <v>970</v>
      </c>
      <c r="I151" s="54">
        <v>5</v>
      </c>
      <c r="O151" s="296"/>
      <c r="P151" s="431" t="s">
        <v>1134</v>
      </c>
      <c r="Y151" s="86"/>
    </row>
    <row r="152" ht="20.1" customHeight="1" s="4" customFormat="1">
      <c r="C152" s="22" t="s">
        <v>973</v>
      </c>
      <c r="D152" s="22"/>
      <c r="E152" s="23"/>
      <c r="F152" s="22"/>
      <c r="G152" s="22"/>
      <c r="H152" s="22"/>
      <c r="I152" s="22" t="s">
        <v>987</v>
      </c>
      <c r="J152" s="22"/>
      <c r="K152" s="22"/>
      <c r="L152" s="22"/>
      <c r="O152" s="296"/>
      <c r="P152" s="432" t="s">
        <v>1135</v>
      </c>
      <c r="Y152" s="86"/>
    </row>
    <row r="153" ht="15" customHeight="1" s="4" customFormat="1">
      <c r="A153" s="372"/>
      <c r="B153" s="372"/>
      <c r="C153" s="4" t="s">
        <v>517</v>
      </c>
      <c r="O153" s="296"/>
      <c r="P153" s="433" t="s">
        <v>1136</v>
      </c>
      <c r="Q153" s="35"/>
      <c r="R153" s="35"/>
      <c r="S153" s="35"/>
      <c r="T153" s="35"/>
      <c r="U153" s="35"/>
      <c r="V153" s="35"/>
      <c r="W153" s="35"/>
      <c r="X153" s="35"/>
      <c r="Y153" s="37"/>
    </row>
    <row r="154" ht="15" customHeight="1" s="4" customFormat="1">
      <c r="A154" s="372"/>
      <c r="B154" s="372"/>
      <c r="O154" s="296"/>
      <c r="X154" s="372"/>
    </row>
    <row r="155" ht="15" customHeight="1" s="4" customFormat="1">
      <c r="A155" s="333" t="s">
        <v>1137</v>
      </c>
      <c r="B155" s="372"/>
      <c r="H155" s="38"/>
      <c r="M155" s="372"/>
      <c r="O155" s="296"/>
      <c r="X155" s="372"/>
    </row>
    <row r="156" ht="15" customHeight="1" s="4" customFormat="1">
      <c r="A156" s="72" t="s">
        <v>230</v>
      </c>
      <c r="B156" s="376" t="s">
        <v>1126</v>
      </c>
      <c r="C156" s="494" t="s">
        <v>1138</v>
      </c>
      <c r="D156" s="498"/>
      <c r="E156" s="498"/>
      <c r="F156" s="498"/>
      <c r="G156" s="495"/>
      <c r="H156" s="494" t="s">
        <v>1139</v>
      </c>
      <c r="I156" s="495"/>
      <c r="J156" s="73" t="s">
        <v>519</v>
      </c>
      <c r="K156" s="73" t="s">
        <v>521</v>
      </c>
      <c r="L156" s="485" t="s">
        <v>246</v>
      </c>
      <c r="M156" s="74" t="s">
        <v>247</v>
      </c>
      <c r="O156" s="296"/>
    </row>
    <row r="157" ht="15" customHeight="1" s="4" customFormat="1">
      <c r="A157" s="75"/>
      <c r="B157" s="377"/>
      <c r="C157" s="377" t="s">
        <v>385</v>
      </c>
      <c r="D157" s="377" t="s">
        <v>386</v>
      </c>
      <c r="E157" s="377" t="s">
        <v>387</v>
      </c>
      <c r="F157" s="377" t="s">
        <v>926</v>
      </c>
      <c r="G157" s="377" t="s">
        <v>927</v>
      </c>
      <c r="H157" s="377" t="s">
        <v>928</v>
      </c>
      <c r="I157" s="377" t="s">
        <v>929</v>
      </c>
      <c r="J157" s="76"/>
      <c r="K157" s="76"/>
      <c r="L157" s="453"/>
      <c r="M157" s="77"/>
      <c r="O157" s="296"/>
    </row>
    <row r="158" ht="15" customHeight="1">
      <c r="A158" s="187">
        <f>A54</f>
        <v>101</v>
      </c>
      <c r="B158" s="191">
        <f>INPUT!CU3</f>
        <v>2406.7982716579568</v>
      </c>
      <c r="C158" s="191">
        <f>INPUT!BB3</f>
        <v>-683.35517469674232</v>
      </c>
      <c r="D158" s="191">
        <f>INPUT!BC3</f>
        <v>-0.91059939832501868</v>
      </c>
      <c r="E158" s="191">
        <f>INPUT!BD3</f>
        <v>-1194.0301894616569</v>
      </c>
      <c r="F158" s="191">
        <f>INPUT!CJ3</f>
        <v>-436.06870446189714</v>
      </c>
      <c r="G158" s="191">
        <f>INPUT!CK3</f>
        <v>-314.94994178543857</v>
      </c>
      <c r="H158" s="191">
        <f>0.75*INPUT!CV3</f>
        <v>11.551097862036368</v>
      </c>
      <c r="I158" s="191">
        <f>0.75*INPUT!CW3</f>
        <v>-212.85135393178524</v>
      </c>
      <c r="J158" s="445">
        <f>(IF(C158&gt;=0,H158,I158)*2+SUM(C158:G158))/2</f>
        <v>-1527.5086588338152</v>
      </c>
      <c r="K158" s="184">
        <f>J158/COS(INPUT!P3)</f>
        <v>-1539.5205101613674</v>
      </c>
      <c r="L158" s="489" t="str">
        <f>IF(ABS(K158)&lt;=B158,"OK","NG")</f>
        <v>OK</v>
      </c>
      <c r="M158" s="391">
        <f>B158/ABS(K158)</f>
        <v>1.5633427783340699</v>
      </c>
      <c r="N158" s="4"/>
    </row>
    <row r="159">
      <c r="A159" s="187">
        <f>A55</f>
        <v>101</v>
      </c>
      <c r="B159" s="191">
        <f>INPUT!CU4</f>
        <v>2406.7982716579568</v>
      </c>
      <c r="C159" s="191">
        <f>INPUT!BB4</f>
        <v>-683.35517469674232</v>
      </c>
      <c r="D159" s="191">
        <f>INPUT!BC4</f>
        <v>-0.91059939832501868</v>
      </c>
      <c r="E159" s="191">
        <f>INPUT!BD4</f>
        <v>-1194.0301894616569</v>
      </c>
      <c r="F159" s="191">
        <f>INPUT!CJ4</f>
        <v>-436.06870446189714</v>
      </c>
      <c r="G159" s="191">
        <f>INPUT!CK4</f>
        <v>-314.94994178543857</v>
      </c>
      <c r="H159" s="191">
        <f>0.75*INPUT!CV4</f>
        <v>11.551097862036368</v>
      </c>
      <c r="I159" s="191">
        <f>0.75*INPUT!CW4</f>
        <v>-212.85135393178524</v>
      </c>
      <c r="J159" s="445">
        <f>(IF(C159&gt;=0,H159,I159)*2+SUM(C159:G159))/2</f>
        <v>-1527.5086588338152</v>
      </c>
      <c r="K159" s="184">
        <f>J159/COS(INPUT!P4)</f>
        <v>-1539.5205101613674</v>
      </c>
      <c r="L159" s="489" t="str">
        <f>IF(ABS(K159)&lt;=B159,"OK","NG")</f>
        <v>OK</v>
      </c>
      <c r="M159" s="391">
        <f>B159/ABS(K159)</f>
        <v>1.5633427783340699</v>
      </c>
      <c r="N159" s="4"/>
    </row>
    <row r="160">
      <c r="A160" s="187">
        <f>A56</f>
        <v>101</v>
      </c>
      <c r="B160" s="191">
        <f>INPUT!CU5</f>
        <v>2406.7982716579568</v>
      </c>
      <c r="C160" s="191">
        <f>INPUT!BB5</f>
        <v>-683.35517469674232</v>
      </c>
      <c r="D160" s="191">
        <f>INPUT!BC5</f>
        <v>-0.91059939832501868</v>
      </c>
      <c r="E160" s="191">
        <f>INPUT!BD5</f>
        <v>-1194.0301894616569</v>
      </c>
      <c r="F160" s="191">
        <f>INPUT!CJ5</f>
        <v>-436.06870446189714</v>
      </c>
      <c r="G160" s="191">
        <f>INPUT!CK5</f>
        <v>-314.94994178543857</v>
      </c>
      <c r="H160" s="191">
        <f>0.75*INPUT!CV5</f>
        <v>11.551097862036368</v>
      </c>
      <c r="I160" s="191">
        <f>0.75*INPUT!CW5</f>
        <v>-212.85135393178524</v>
      </c>
      <c r="J160" s="445">
        <f>(IF(C160&gt;=0,H160,I160)*2+SUM(C160:G160))/2</f>
        <v>-1527.5086588338152</v>
      </c>
      <c r="K160" s="184">
        <f>J160/COS(INPUT!P5)</f>
        <v>-1539.5205101613674</v>
      </c>
      <c r="L160" s="489" t="str">
        <f>IF(ABS(K160)&lt;=B160,"OK","NG")</f>
        <v>OK</v>
      </c>
      <c r="M160" s="391">
        <f>B160/ABS(K160)</f>
        <v>1.5633427783340699</v>
      </c>
      <c r="N160" s="4"/>
    </row>
    <row r="161">
      <c r="A161" s="187">
        <f>A57</f>
        <v>101</v>
      </c>
      <c r="B161" s="191">
        <f>INPUT!CU6</f>
        <v>2406.7982716579568</v>
      </c>
      <c r="C161" s="191">
        <f>INPUT!BB6</f>
        <v>-683.35517469674232</v>
      </c>
      <c r="D161" s="191">
        <f>INPUT!BC6</f>
        <v>-0.91059939832501868</v>
      </c>
      <c r="E161" s="191">
        <f>INPUT!BD6</f>
        <v>-1194.0301894616569</v>
      </c>
      <c r="F161" s="191">
        <f>INPUT!CJ6</f>
        <v>-436.06870446189714</v>
      </c>
      <c r="G161" s="191">
        <f>INPUT!CK6</f>
        <v>-314.94994178543857</v>
      </c>
      <c r="H161" s="191">
        <f>0.75*INPUT!CV6</f>
        <v>11.551097862036368</v>
      </c>
      <c r="I161" s="191">
        <f>0.75*INPUT!CW6</f>
        <v>-212.85135393178524</v>
      </c>
      <c r="J161" s="445">
        <f>(IF(C161&gt;=0,H161,I161)*2+SUM(C161:G161))/2</f>
        <v>-1527.5086588338152</v>
      </c>
      <c r="K161" s="184">
        <f>J161/COS(INPUT!P6)</f>
        <v>-1539.5205101613674</v>
      </c>
      <c r="L161" s="489" t="str">
        <f>IF(ABS(K161)&lt;=B161,"OK","NG")</f>
        <v>OK</v>
      </c>
      <c r="M161" s="391">
        <f>B161/ABS(K161)</f>
        <v>1.5633427783340699</v>
      </c>
      <c r="N161" s="4"/>
    </row>
    <row r="162">
      <c r="A162" s="187">
        <f>A58</f>
        <v>101</v>
      </c>
      <c r="B162" s="191">
        <f>INPUT!CU7</f>
        <v>2406.7982716579568</v>
      </c>
      <c r="C162" s="191">
        <f>INPUT!BB7</f>
        <v>-683.35517469674232</v>
      </c>
      <c r="D162" s="191">
        <f>INPUT!BC7</f>
        <v>-0.91059939832501868</v>
      </c>
      <c r="E162" s="191">
        <f>INPUT!BD7</f>
        <v>-1194.0301894616569</v>
      </c>
      <c r="F162" s="191">
        <f>INPUT!CJ7</f>
        <v>-436.06870446189714</v>
      </c>
      <c r="G162" s="191">
        <f>INPUT!CK7</f>
        <v>-314.94994178543857</v>
      </c>
      <c r="H162" s="191">
        <f>0.75*INPUT!CV7</f>
        <v>11.551097862036368</v>
      </c>
      <c r="I162" s="191">
        <f>0.75*INPUT!CW7</f>
        <v>-212.85135393178524</v>
      </c>
      <c r="J162" s="445">
        <f>(IF(C162&gt;=0,H162,I162)*2+SUM(C162:G162))/2</f>
        <v>-1527.5086588338152</v>
      </c>
      <c r="K162" s="184">
        <f>J162/COS(INPUT!P7)</f>
        <v>-1539.5205101613674</v>
      </c>
      <c r="L162" s="489" t="str">
        <f>IF(ABS(K162)&lt;=B162,"OK","NG")</f>
        <v>OK</v>
      </c>
      <c r="M162" s="391">
        <f>B162/ABS(K162)</f>
        <v>1.5633427783340699</v>
      </c>
      <c r="N162" s="4"/>
    </row>
    <row r="163">
      <c r="A163" s="187">
        <f>A59</f>
        <v>101</v>
      </c>
      <c r="B163" s="191">
        <f>INPUT!CU8</f>
        <v>2406.7982716579568</v>
      </c>
      <c r="C163" s="191">
        <f>INPUT!BB8</f>
        <v>-683.35517469674232</v>
      </c>
      <c r="D163" s="191">
        <f>INPUT!BC8</f>
        <v>-0.91059939832501868</v>
      </c>
      <c r="E163" s="191">
        <f>INPUT!BD8</f>
        <v>-1194.0301894616569</v>
      </c>
      <c r="F163" s="191">
        <f>INPUT!CJ8</f>
        <v>-436.06870446189714</v>
      </c>
      <c r="G163" s="191">
        <f>INPUT!CK8</f>
        <v>-314.94994178543857</v>
      </c>
      <c r="H163" s="191">
        <f>0.75*INPUT!CV8</f>
        <v>11.551097862036368</v>
      </c>
      <c r="I163" s="191">
        <f>0.75*INPUT!CW8</f>
        <v>-212.85135393178524</v>
      </c>
      <c r="J163" s="445">
        <f>(IF(C163&gt;=0,H163,I163)*2+SUM(C163:G163))/2</f>
        <v>-1527.5086588338152</v>
      </c>
      <c r="K163" s="184">
        <f>J163/COS(INPUT!P8)</f>
        <v>-1539.5205101613674</v>
      </c>
      <c r="L163" s="489" t="str">
        <f>IF(ABS(K163)&lt;=B163,"OK","NG")</f>
        <v>OK</v>
      </c>
      <c r="M163" s="391">
        <f>B163/ABS(K163)</f>
        <v>1.5633427783340699</v>
      </c>
      <c r="N163" s="4"/>
    </row>
    <row r="164">
      <c r="A164" s="187">
        <f>A60</f>
        <v>101</v>
      </c>
      <c r="B164" s="191">
        <f>INPUT!CU9</f>
        <v>2406.7982716579568</v>
      </c>
      <c r="C164" s="191">
        <f>INPUT!BB9</f>
        <v>-683.35517469674232</v>
      </c>
      <c r="D164" s="191">
        <f>INPUT!BC9</f>
        <v>-0.91059939832501868</v>
      </c>
      <c r="E164" s="191">
        <f>INPUT!BD9</f>
        <v>-1194.0301894616569</v>
      </c>
      <c r="F164" s="191">
        <f>INPUT!CJ9</f>
        <v>-436.06870446189714</v>
      </c>
      <c r="G164" s="191">
        <f>INPUT!CK9</f>
        <v>-314.94994178543857</v>
      </c>
      <c r="H164" s="191">
        <f>0.75*INPUT!CV9</f>
        <v>11.551097862036368</v>
      </c>
      <c r="I164" s="191">
        <f>0.75*INPUT!CW9</f>
        <v>-212.85135393178524</v>
      </c>
      <c r="J164" s="445">
        <f>(IF(C164&gt;=0,H164,I164)*2+SUM(C164:G164))/2</f>
        <v>-1527.5086588338152</v>
      </c>
      <c r="K164" s="184">
        <f>J164/COS(INPUT!P9)</f>
        <v>-1539.5205101613674</v>
      </c>
      <c r="L164" s="489" t="str">
        <f>IF(ABS(K164)&lt;=B164,"OK","NG")</f>
        <v>OK</v>
      </c>
      <c r="M164" s="391">
        <f>B164/ABS(K164)</f>
        <v>1.5633427783340699</v>
      </c>
      <c r="N164" s="4"/>
    </row>
    <row r="165">
      <c r="A165" s="187">
        <f>A61</f>
        <v>101</v>
      </c>
      <c r="B165" s="191">
        <f>INPUT!CU10</f>
        <v>2406.7982716579568</v>
      </c>
      <c r="C165" s="191">
        <f>INPUT!BB10</f>
        <v>-683.35517469674232</v>
      </c>
      <c r="D165" s="191">
        <f>INPUT!BC10</f>
        <v>-0.91059939832501868</v>
      </c>
      <c r="E165" s="191">
        <f>INPUT!BD10</f>
        <v>-1194.0301894616569</v>
      </c>
      <c r="F165" s="191">
        <f>INPUT!CJ10</f>
        <v>-436.06870446189714</v>
      </c>
      <c r="G165" s="191">
        <f>INPUT!CK10</f>
        <v>-314.94994178543857</v>
      </c>
      <c r="H165" s="191">
        <f>0.75*INPUT!CV10</f>
        <v>11.551097862036368</v>
      </c>
      <c r="I165" s="191">
        <f>0.75*INPUT!CW10</f>
        <v>-212.85135393178524</v>
      </c>
      <c r="J165" s="445">
        <f>(IF(C165&gt;=0,H165,I165)*2+SUM(C165:G165))/2</f>
        <v>-1527.5086588338152</v>
      </c>
      <c r="K165" s="184">
        <f>J165/COS(INPUT!P10)</f>
        <v>-1539.5205101613674</v>
      </c>
      <c r="L165" s="489" t="str">
        <f>IF(ABS(K165)&lt;=B165,"OK","NG")</f>
        <v>OK</v>
      </c>
      <c r="M165" s="391">
        <f>B165/ABS(K165)</f>
        <v>1.5633427783340699</v>
      </c>
      <c r="N165" s="4"/>
    </row>
    <row r="166">
      <c r="A166" s="187">
        <f>A62</f>
        <v>101</v>
      </c>
      <c r="B166" s="191">
        <f>INPUT!CU11</f>
        <v>2406.7982716579568</v>
      </c>
      <c r="C166" s="191">
        <f>INPUT!BB11</f>
        <v>-683.35517469674232</v>
      </c>
      <c r="D166" s="191">
        <f>INPUT!BC11</f>
        <v>-0.91059939832501868</v>
      </c>
      <c r="E166" s="191">
        <f>INPUT!BD11</f>
        <v>-1194.0301894616569</v>
      </c>
      <c r="F166" s="191">
        <f>INPUT!CJ11</f>
        <v>-436.06870446189714</v>
      </c>
      <c r="G166" s="191">
        <f>INPUT!CK11</f>
        <v>-314.94994178543857</v>
      </c>
      <c r="H166" s="191">
        <f>0.75*INPUT!CV11</f>
        <v>11.551097862036368</v>
      </c>
      <c r="I166" s="191">
        <f>0.75*INPUT!CW11</f>
        <v>-212.85135393178524</v>
      </c>
      <c r="J166" s="445">
        <f>(IF(C166&gt;=0,H166,I166)*2+SUM(C166:G166))/2</f>
        <v>-1527.5086588338152</v>
      </c>
      <c r="K166" s="184">
        <f>J166/COS(INPUT!P11)</f>
        <v>-1539.5205101613674</v>
      </c>
      <c r="L166" s="489" t="str">
        <f>IF(ABS(K166)&lt;=B166,"OK","NG")</f>
        <v>OK</v>
      </c>
      <c r="M166" s="391">
        <f>B166/ABS(K166)</f>
        <v>1.5633427783340699</v>
      </c>
      <c r="N166" s="4"/>
    </row>
    <row r="167">
      <c r="A167" s="187">
        <f>A63</f>
        <v>101</v>
      </c>
      <c r="B167" s="191">
        <f>INPUT!CU12</f>
        <v>2406.7982716579568</v>
      </c>
      <c r="C167" s="191">
        <f>INPUT!BB12</f>
        <v>-683.35517469674232</v>
      </c>
      <c r="D167" s="191">
        <f>INPUT!BC12</f>
        <v>-0.91059939832501868</v>
      </c>
      <c r="E167" s="191">
        <f>INPUT!BD12</f>
        <v>-1194.0301894616569</v>
      </c>
      <c r="F167" s="191">
        <f>INPUT!CJ12</f>
        <v>-436.06870446189714</v>
      </c>
      <c r="G167" s="191">
        <f>INPUT!CK12</f>
        <v>-314.94994178543857</v>
      </c>
      <c r="H167" s="191">
        <f>0.75*INPUT!CV12</f>
        <v>11.551097862036368</v>
      </c>
      <c r="I167" s="191">
        <f>0.75*INPUT!CW12</f>
        <v>-212.85135393178524</v>
      </c>
      <c r="J167" s="445">
        <f>(IF(C167&gt;=0,H167,I167)*2+SUM(C167:G167))/2</f>
        <v>-1527.5086588338152</v>
      </c>
      <c r="K167" s="184">
        <f>J167/COS(INPUT!P12)</f>
        <v>-1539.5205101613674</v>
      </c>
      <c r="L167" s="489" t="str">
        <f>IF(ABS(K167)&lt;=B167,"OK","NG")</f>
        <v>OK</v>
      </c>
      <c r="M167" s="391">
        <f>B167/ABS(K167)</f>
        <v>1.5633427783340699</v>
      </c>
      <c r="N167" s="4"/>
    </row>
    <row r="168">
      <c r="A168" s="187">
        <f>A64</f>
        <v>101</v>
      </c>
      <c r="B168" s="191">
        <f>INPUT!CU13</f>
        <v>2406.7982716579568</v>
      </c>
      <c r="C168" s="191">
        <f>INPUT!BB13</f>
        <v>-683.35517469674232</v>
      </c>
      <c r="D168" s="191">
        <f>INPUT!BC13</f>
        <v>-0.91059939832501868</v>
      </c>
      <c r="E168" s="191">
        <f>INPUT!BD13</f>
        <v>-1194.0301894616569</v>
      </c>
      <c r="F168" s="191">
        <f>INPUT!CJ13</f>
        <v>-436.06870446189714</v>
      </c>
      <c r="G168" s="191">
        <f>INPUT!CK13</f>
        <v>-314.94994178543857</v>
      </c>
      <c r="H168" s="191">
        <f>0.75*INPUT!CV13</f>
        <v>11.551097862036368</v>
      </c>
      <c r="I168" s="191">
        <f>0.75*INPUT!CW13</f>
        <v>-212.85135393178524</v>
      </c>
      <c r="J168" s="445">
        <f>(IF(C168&gt;=0,H168,I168)*2+SUM(C168:G168))/2</f>
        <v>-1527.5086588338152</v>
      </c>
      <c r="K168" s="184">
        <f>J168/COS(INPUT!P13)</f>
        <v>-1539.5205101613674</v>
      </c>
      <c r="L168" s="489" t="str">
        <f>IF(ABS(K168)&lt;=B168,"OK","NG")</f>
        <v>OK</v>
      </c>
      <c r="M168" s="391">
        <f>B168/ABS(K168)</f>
        <v>1.5633427783340699</v>
      </c>
      <c r="N168" s="4"/>
    </row>
    <row r="169">
      <c r="A169" s="187">
        <f>A65</f>
        <v>101</v>
      </c>
      <c r="B169" s="191">
        <f>INPUT!CU14</f>
        <v>2406.7982716579568</v>
      </c>
      <c r="C169" s="191">
        <f>INPUT!BB14</f>
        <v>-683.35517469674232</v>
      </c>
      <c r="D169" s="191">
        <f>INPUT!BC14</f>
        <v>-0.91059939832501868</v>
      </c>
      <c r="E169" s="191">
        <f>INPUT!BD14</f>
        <v>-1194.0301894616569</v>
      </c>
      <c r="F169" s="191">
        <f>INPUT!CJ14</f>
        <v>-436.06870446189714</v>
      </c>
      <c r="G169" s="191">
        <f>INPUT!CK14</f>
        <v>-314.94994178543857</v>
      </c>
      <c r="H169" s="191">
        <f>0.75*INPUT!CV14</f>
        <v>11.551097862036368</v>
      </c>
      <c r="I169" s="191">
        <f>0.75*INPUT!CW14</f>
        <v>-212.85135393178524</v>
      </c>
      <c r="J169" s="445">
        <f>(IF(C169&gt;=0,H169,I169)*2+SUM(C169:G169))/2</f>
        <v>-1527.5086588338152</v>
      </c>
      <c r="K169" s="184">
        <f>J169/COS(INPUT!P14)</f>
        <v>-1539.5205101613674</v>
      </c>
      <c r="L169" s="489" t="str">
        <f>IF(ABS(K169)&lt;=B169,"OK","NG")</f>
        <v>OK</v>
      </c>
      <c r="M169" s="391">
        <f>B169/ABS(K169)</f>
        <v>1.5633427783340699</v>
      </c>
      <c r="N169" s="4"/>
    </row>
    <row r="170">
      <c r="A170" s="187">
        <f>A66</f>
        <v>101</v>
      </c>
      <c r="B170" s="191">
        <f>INPUT!CU15</f>
        <v>2406.7982716579568</v>
      </c>
      <c r="C170" s="191">
        <f>INPUT!BB15</f>
        <v>-683.35517469674232</v>
      </c>
      <c r="D170" s="191">
        <f>INPUT!BC15</f>
        <v>-0.91059939832501868</v>
      </c>
      <c r="E170" s="191">
        <f>INPUT!BD15</f>
        <v>-1194.0301894616569</v>
      </c>
      <c r="F170" s="191">
        <f>INPUT!CJ15</f>
        <v>-436.06870446189714</v>
      </c>
      <c r="G170" s="191">
        <f>INPUT!CK15</f>
        <v>-314.94994178543857</v>
      </c>
      <c r="H170" s="191">
        <f>0.75*INPUT!CV15</f>
        <v>11.551097862036368</v>
      </c>
      <c r="I170" s="191">
        <f>0.75*INPUT!CW15</f>
        <v>-212.85135393178524</v>
      </c>
      <c r="J170" s="445">
        <f>(IF(C170&gt;=0,H170,I170)*2+SUM(C170:G170))/2</f>
        <v>-1527.5086588338152</v>
      </c>
      <c r="K170" s="184">
        <f>J170/COS(INPUT!P15)</f>
        <v>-1539.5205101613674</v>
      </c>
      <c r="L170" s="489" t="str">
        <f>IF(ABS(K170)&lt;=B170,"OK","NG")</f>
        <v>OK</v>
      </c>
      <c r="M170" s="391">
        <f>B170/ABS(K170)</f>
        <v>1.5633427783340699</v>
      </c>
      <c r="N170" s="4"/>
    </row>
    <row r="171">
      <c r="A171" s="187">
        <f>A67</f>
        <v>101</v>
      </c>
      <c r="B171" s="191">
        <f>INPUT!CU16</f>
        <v>2406.7982716579568</v>
      </c>
      <c r="C171" s="191">
        <f>INPUT!BB16</f>
        <v>-683.35517469674232</v>
      </c>
      <c r="D171" s="191">
        <f>INPUT!BC16</f>
        <v>-0.91059939832501868</v>
      </c>
      <c r="E171" s="191">
        <f>INPUT!BD16</f>
        <v>-1194.0301894616569</v>
      </c>
      <c r="F171" s="191">
        <f>INPUT!CJ16</f>
        <v>-436.06870446189714</v>
      </c>
      <c r="G171" s="191">
        <f>INPUT!CK16</f>
        <v>-314.94994178543857</v>
      </c>
      <c r="H171" s="191">
        <f>0.75*INPUT!CV16</f>
        <v>11.551097862036368</v>
      </c>
      <c r="I171" s="191">
        <f>0.75*INPUT!CW16</f>
        <v>-212.85135393178524</v>
      </c>
      <c r="J171" s="445">
        <f>(IF(C171&gt;=0,H171,I171)*2+SUM(C171:G171))/2</f>
        <v>-1527.5086588338152</v>
      </c>
      <c r="K171" s="184">
        <f>J171/COS(INPUT!P16)</f>
        <v>-1539.5205101613674</v>
      </c>
      <c r="L171" s="489" t="str">
        <f>IF(ABS(K171)&lt;=B171,"OK","NG")</f>
        <v>OK</v>
      </c>
      <c r="M171" s="391">
        <f>B171/ABS(K171)</f>
        <v>1.5633427783340699</v>
      </c>
      <c r="N171" s="4"/>
    </row>
    <row r="172">
      <c r="A172" s="187">
        <f>A68</f>
        <v>101</v>
      </c>
      <c r="B172" s="191">
        <f>INPUT!CU17</f>
        <v>2406.7982716579568</v>
      </c>
      <c r="C172" s="191">
        <f>INPUT!BB17</f>
        <v>-683.35517469674232</v>
      </c>
      <c r="D172" s="191">
        <f>INPUT!BC17</f>
        <v>-0.91059939832501868</v>
      </c>
      <c r="E172" s="191">
        <f>INPUT!BD17</f>
        <v>-1194.0301894616569</v>
      </c>
      <c r="F172" s="191">
        <f>INPUT!CJ17</f>
        <v>-436.06870446189714</v>
      </c>
      <c r="G172" s="191">
        <f>INPUT!CK17</f>
        <v>-314.94994178543857</v>
      </c>
      <c r="H172" s="191">
        <f>0.75*INPUT!CV17</f>
        <v>11.551097862036368</v>
      </c>
      <c r="I172" s="191">
        <f>0.75*INPUT!CW17</f>
        <v>-212.85135393178524</v>
      </c>
      <c r="J172" s="445">
        <f>(IF(C172&gt;=0,H172,I172)*2+SUM(C172:G172))/2</f>
        <v>-1527.5086588338152</v>
      </c>
      <c r="K172" s="184">
        <f>J172/COS(INPUT!P17)</f>
        <v>-1539.5205101613674</v>
      </c>
      <c r="L172" s="489" t="str">
        <f>IF(ABS(K172)&lt;=B172,"OK","NG")</f>
        <v>OK</v>
      </c>
      <c r="M172" s="391">
        <f>B172/ABS(K172)</f>
        <v>1.5633427783340699</v>
      </c>
      <c r="N172" s="4"/>
    </row>
    <row r="173">
      <c r="A173" s="187">
        <f>A69</f>
        <v>101</v>
      </c>
      <c r="B173" s="191">
        <f>INPUT!CU18</f>
        <v>2406.7982716579568</v>
      </c>
      <c r="C173" s="191">
        <f>INPUT!BB18</f>
        <v>-683.35517469674232</v>
      </c>
      <c r="D173" s="191">
        <f>INPUT!BC18</f>
        <v>-0.91059939832501868</v>
      </c>
      <c r="E173" s="191">
        <f>INPUT!BD18</f>
        <v>-1194.0301894616569</v>
      </c>
      <c r="F173" s="191">
        <f>INPUT!CJ18</f>
        <v>-436.06870446189714</v>
      </c>
      <c r="G173" s="191">
        <f>INPUT!CK18</f>
        <v>-314.94994178543857</v>
      </c>
      <c r="H173" s="191">
        <f>0.75*INPUT!CV18</f>
        <v>11.551097862036368</v>
      </c>
      <c r="I173" s="191">
        <f>0.75*INPUT!CW18</f>
        <v>-212.85135393178524</v>
      </c>
      <c r="J173" s="445">
        <f>(IF(C173&gt;=0,H173,I173)*2+SUM(C173:G173))/2</f>
        <v>-1527.5086588338152</v>
      </c>
      <c r="K173" s="184">
        <f>J173/COS(INPUT!P18)</f>
        <v>-1539.5205101613674</v>
      </c>
      <c r="L173" s="489" t="str">
        <f>IF(ABS(K173)&lt;=B173,"OK","NG")</f>
        <v>OK</v>
      </c>
      <c r="M173" s="391">
        <f>B173/ABS(K173)</f>
        <v>1.5633427783340699</v>
      </c>
      <c r="N173" s="4"/>
    </row>
    <row r="174">
      <c r="A174" s="187">
        <f>A70</f>
        <v>101</v>
      </c>
      <c r="B174" s="191">
        <f>INPUT!CU19</f>
        <v>2406.7982716579568</v>
      </c>
      <c r="C174" s="191">
        <f>INPUT!BB19</f>
        <v>-683.35517469674232</v>
      </c>
      <c r="D174" s="191">
        <f>INPUT!BC19</f>
        <v>-0.91059939832501868</v>
      </c>
      <c r="E174" s="191">
        <f>INPUT!BD19</f>
        <v>-1194.0301894616569</v>
      </c>
      <c r="F174" s="191">
        <f>INPUT!CJ19</f>
        <v>-436.06870446189714</v>
      </c>
      <c r="G174" s="191">
        <f>INPUT!CK19</f>
        <v>-314.94994178543857</v>
      </c>
      <c r="H174" s="191">
        <f>0.75*INPUT!CV19</f>
        <v>11.551097862036368</v>
      </c>
      <c r="I174" s="191">
        <f>0.75*INPUT!CW19</f>
        <v>-212.85135393178524</v>
      </c>
      <c r="J174" s="445">
        <f>(IF(C174&gt;=0,H174,I174)*2+SUM(C174:G174))/2</f>
        <v>-1527.5086588338152</v>
      </c>
      <c r="K174" s="184">
        <f>J174/COS(INPUT!P19)</f>
        <v>-1539.5205101613674</v>
      </c>
      <c r="L174" s="489" t="str">
        <f>IF(ABS(K174)&lt;=B174,"OK","NG")</f>
        <v>OK</v>
      </c>
      <c r="M174" s="391">
        <f>B174/ABS(K174)</f>
        <v>1.5633427783340699</v>
      </c>
      <c r="N174" s="4"/>
    </row>
    <row r="175">
      <c r="A175" s="187">
        <f>A71</f>
        <v>101</v>
      </c>
      <c r="B175" s="191">
        <f>INPUT!CU20</f>
        <v>2406.7982716579568</v>
      </c>
      <c r="C175" s="191">
        <f>INPUT!BB20</f>
        <v>-683.35517469674232</v>
      </c>
      <c r="D175" s="191">
        <f>INPUT!BC20</f>
        <v>-0.91059939832501868</v>
      </c>
      <c r="E175" s="191">
        <f>INPUT!BD20</f>
        <v>-1194.0301894616569</v>
      </c>
      <c r="F175" s="191">
        <f>INPUT!CJ20</f>
        <v>-436.06870446189714</v>
      </c>
      <c r="G175" s="191">
        <f>INPUT!CK20</f>
        <v>-314.94994178543857</v>
      </c>
      <c r="H175" s="191">
        <f>0.75*INPUT!CV20</f>
        <v>11.551097862036368</v>
      </c>
      <c r="I175" s="191">
        <f>0.75*INPUT!CW20</f>
        <v>-212.85135393178524</v>
      </c>
      <c r="J175" s="445">
        <f>(IF(C175&gt;=0,H175,I175)*2+SUM(C175:G175))/2</f>
        <v>-1527.5086588338152</v>
      </c>
      <c r="K175" s="184">
        <f>J175/COS(INPUT!P20)</f>
        <v>-1539.5205101613674</v>
      </c>
      <c r="L175" s="489" t="str">
        <f>IF(ABS(K175)&lt;=B175,"OK","NG")</f>
        <v>OK</v>
      </c>
      <c r="M175" s="391">
        <f>B175/ABS(K175)</f>
        <v>1.5633427783340699</v>
      </c>
      <c r="N175" s="4"/>
    </row>
    <row r="176">
      <c r="A176" s="187">
        <f>A72</f>
        <v>101</v>
      </c>
      <c r="B176" s="191">
        <f>INPUT!CU21</f>
        <v>2406.7982716579568</v>
      </c>
      <c r="C176" s="191">
        <f>INPUT!BB21</f>
        <v>-683.35517469674232</v>
      </c>
      <c r="D176" s="191">
        <f>INPUT!BC21</f>
        <v>-0.91059939832501868</v>
      </c>
      <c r="E176" s="191">
        <f>INPUT!BD21</f>
        <v>-1194.0301894616569</v>
      </c>
      <c r="F176" s="191">
        <f>INPUT!CJ21</f>
        <v>-436.06870446189714</v>
      </c>
      <c r="G176" s="191">
        <f>INPUT!CK21</f>
        <v>-314.94994178543857</v>
      </c>
      <c r="H176" s="191">
        <f>0.75*INPUT!CV21</f>
        <v>11.551097862036368</v>
      </c>
      <c r="I176" s="191">
        <f>0.75*INPUT!CW21</f>
        <v>-212.85135393178524</v>
      </c>
      <c r="J176" s="445">
        <f>(IF(C176&gt;=0,H176,I176)*2+SUM(C176:G176))/2</f>
        <v>-1527.5086588338152</v>
      </c>
      <c r="K176" s="184">
        <f>J176/COS(INPUT!P21)</f>
        <v>-1539.5205101613674</v>
      </c>
      <c r="L176" s="489" t="str">
        <f>IF(ABS(K176)&lt;=B176,"OK","NG")</f>
        <v>OK</v>
      </c>
      <c r="M176" s="391">
        <f>B176/ABS(K176)</f>
        <v>1.5633427783340699</v>
      </c>
      <c r="N176" s="4"/>
    </row>
    <row r="177">
      <c r="A177" s="187">
        <f>A73</f>
        <v>101</v>
      </c>
      <c r="B177" s="191">
        <f>INPUT!CU22</f>
        <v>2406.7982716579568</v>
      </c>
      <c r="C177" s="191">
        <f>INPUT!BB22</f>
        <v>-683.35517469674232</v>
      </c>
      <c r="D177" s="191">
        <f>INPUT!BC22</f>
        <v>-0.91059939832501868</v>
      </c>
      <c r="E177" s="191">
        <f>INPUT!BD22</f>
        <v>-1194.0301894616569</v>
      </c>
      <c r="F177" s="191">
        <f>INPUT!CJ22</f>
        <v>-436.06870446189714</v>
      </c>
      <c r="G177" s="191">
        <f>INPUT!CK22</f>
        <v>-314.94994178543857</v>
      </c>
      <c r="H177" s="191">
        <f>0.75*INPUT!CV22</f>
        <v>11.551097862036368</v>
      </c>
      <c r="I177" s="191">
        <f>0.75*INPUT!CW22</f>
        <v>-212.85135393178524</v>
      </c>
      <c r="J177" s="445">
        <f>(IF(C177&gt;=0,H177,I177)*2+SUM(C177:G177))/2</f>
        <v>-1527.5086588338152</v>
      </c>
      <c r="K177" s="184">
        <f>J177/COS(INPUT!P22)</f>
        <v>-1539.5205101613674</v>
      </c>
      <c r="L177" s="489" t="str">
        <f>IF(ABS(K177)&lt;=B177,"OK","NG")</f>
        <v>OK</v>
      </c>
      <c r="M177" s="391">
        <f>B177/ABS(K177)</f>
        <v>1.5633427783340699</v>
      </c>
      <c r="N177" s="4"/>
    </row>
    <row r="178">
      <c r="A178" s="187">
        <f>A74</f>
        <v>101</v>
      </c>
      <c r="B178" s="191">
        <f>INPUT!CU23</f>
        <v>2406.7982716579568</v>
      </c>
      <c r="C178" s="191">
        <f>INPUT!BB23</f>
        <v>-683.35517469674232</v>
      </c>
      <c r="D178" s="191">
        <f>INPUT!BC23</f>
        <v>-0.91059939832501868</v>
      </c>
      <c r="E178" s="191">
        <f>INPUT!BD23</f>
        <v>-1194.0301894616569</v>
      </c>
      <c r="F178" s="191">
        <f>INPUT!CJ23</f>
        <v>-436.06870446189714</v>
      </c>
      <c r="G178" s="191">
        <f>INPUT!CK23</f>
        <v>-314.94994178543857</v>
      </c>
      <c r="H178" s="191">
        <f>0.75*INPUT!CV23</f>
        <v>11.551097862036368</v>
      </c>
      <c r="I178" s="191">
        <f>0.75*INPUT!CW23</f>
        <v>-212.85135393178524</v>
      </c>
      <c r="J178" s="445">
        <f>(IF(C178&gt;=0,H178,I178)*2+SUM(C178:G178))/2</f>
        <v>-1527.5086588338152</v>
      </c>
      <c r="K178" s="184">
        <f>J178/COS(INPUT!P23)</f>
        <v>-1539.5205101613674</v>
      </c>
      <c r="L178" s="489" t="str">
        <f>IF(ABS(K178)&lt;=B178,"OK","NG")</f>
        <v>OK</v>
      </c>
      <c r="M178" s="391">
        <f>B178/ABS(K178)</f>
        <v>1.5633427783340699</v>
      </c>
      <c r="N178" s="4"/>
    </row>
    <row r="179">
      <c r="A179" s="187">
        <f>A75</f>
        <v>101</v>
      </c>
      <c r="B179" s="191">
        <f>INPUT!CU24</f>
        <v>2406.7982716579568</v>
      </c>
      <c r="C179" s="191">
        <f>INPUT!BB24</f>
        <v>-683.35517469674232</v>
      </c>
      <c r="D179" s="191">
        <f>INPUT!BC24</f>
        <v>-0.91059939832501868</v>
      </c>
      <c r="E179" s="191">
        <f>INPUT!BD24</f>
        <v>-1194.0301894616569</v>
      </c>
      <c r="F179" s="191">
        <f>INPUT!CJ24</f>
        <v>-436.06870446189714</v>
      </c>
      <c r="G179" s="191">
        <f>INPUT!CK24</f>
        <v>-314.94994178543857</v>
      </c>
      <c r="H179" s="191">
        <f>0.75*INPUT!CV24</f>
        <v>11.551097862036368</v>
      </c>
      <c r="I179" s="191">
        <f>0.75*INPUT!CW24</f>
        <v>-212.85135393178524</v>
      </c>
      <c r="J179" s="445">
        <f>(IF(C179&gt;=0,H179,I179)*2+SUM(C179:G179))/2</f>
        <v>-1527.5086588338152</v>
      </c>
      <c r="K179" s="184">
        <f>J179/COS(INPUT!P24)</f>
        <v>-1539.5205101613674</v>
      </c>
      <c r="L179" s="489" t="str">
        <f>IF(ABS(K179)&lt;=B179,"OK","NG")</f>
        <v>OK</v>
      </c>
      <c r="M179" s="391">
        <f>B179/ABS(K179)</f>
        <v>1.5633427783340699</v>
      </c>
      <c r="N179" s="4"/>
    </row>
    <row r="180">
      <c r="A180" s="187">
        <f>A76</f>
        <v>101</v>
      </c>
      <c r="B180" s="191">
        <f>INPUT!CU25</f>
        <v>2406.7982716579568</v>
      </c>
      <c r="C180" s="191">
        <f>INPUT!BB25</f>
        <v>-683.35517469674232</v>
      </c>
      <c r="D180" s="191">
        <f>INPUT!BC25</f>
        <v>-0.91059939832501868</v>
      </c>
      <c r="E180" s="191">
        <f>INPUT!BD25</f>
        <v>-1194.0301894616569</v>
      </c>
      <c r="F180" s="191">
        <f>INPUT!CJ25</f>
        <v>-436.06870446189714</v>
      </c>
      <c r="G180" s="191">
        <f>INPUT!CK25</f>
        <v>-314.94994178543857</v>
      </c>
      <c r="H180" s="191">
        <f>0.75*INPUT!CV25</f>
        <v>11.551097862036368</v>
      </c>
      <c r="I180" s="191">
        <f>0.75*INPUT!CW25</f>
        <v>-212.85135393178524</v>
      </c>
      <c r="J180" s="445">
        <f>(IF(C180&gt;=0,H180,I180)*2+SUM(C180:G180))/2</f>
        <v>-1527.5086588338152</v>
      </c>
      <c r="K180" s="184">
        <f>J180/COS(INPUT!P25)</f>
        <v>-1539.5205101613674</v>
      </c>
      <c r="L180" s="489" t="str">
        <f>IF(ABS(K180)&lt;=B180,"OK","NG")</f>
        <v>OK</v>
      </c>
      <c r="M180" s="391">
        <f>B180/ABS(K180)</f>
        <v>1.5633427783340699</v>
      </c>
      <c r="N180" s="4"/>
    </row>
    <row r="181">
      <c r="A181" s="187">
        <f>A77</f>
        <v>101</v>
      </c>
      <c r="B181" s="191">
        <f>INPUT!CU26</f>
        <v>2406.7982716579568</v>
      </c>
      <c r="C181" s="191">
        <f>INPUT!BB26</f>
        <v>-683.35517469674232</v>
      </c>
      <c r="D181" s="191">
        <f>INPUT!BC26</f>
        <v>-0.91059939832501868</v>
      </c>
      <c r="E181" s="191">
        <f>INPUT!BD26</f>
        <v>-1194.0301894616569</v>
      </c>
      <c r="F181" s="191">
        <f>INPUT!CJ26</f>
        <v>-436.06870446189714</v>
      </c>
      <c r="G181" s="191">
        <f>INPUT!CK26</f>
        <v>-314.94994178543857</v>
      </c>
      <c r="H181" s="191">
        <f>0.75*INPUT!CV26</f>
        <v>11.551097862036368</v>
      </c>
      <c r="I181" s="191">
        <f>0.75*INPUT!CW26</f>
        <v>-212.85135393178524</v>
      </c>
      <c r="J181" s="445">
        <f>(IF(C181&gt;=0,H181,I181)*2+SUM(C181:G181))/2</f>
        <v>-1527.5086588338152</v>
      </c>
      <c r="K181" s="184">
        <f>J181/COS(INPUT!P26)</f>
        <v>-1539.5205101613674</v>
      </c>
      <c r="L181" s="489" t="str">
        <f>IF(ABS(K181)&lt;=B181,"OK","NG")</f>
        <v>OK</v>
      </c>
      <c r="M181" s="391">
        <f>B181/ABS(K181)</f>
        <v>1.5633427783340699</v>
      </c>
      <c r="N181" s="4"/>
    </row>
    <row r="182">
      <c r="A182" s="187">
        <f>A78</f>
        <v>101</v>
      </c>
      <c r="B182" s="191">
        <f>INPUT!CU27</f>
        <v>2406.7982716579568</v>
      </c>
      <c r="C182" s="191">
        <f>INPUT!BB27</f>
        <v>-683.35517469674232</v>
      </c>
      <c r="D182" s="191">
        <f>INPUT!BC27</f>
        <v>-0.91059939832501868</v>
      </c>
      <c r="E182" s="191">
        <f>INPUT!BD27</f>
        <v>-1194.0301894616569</v>
      </c>
      <c r="F182" s="191">
        <f>INPUT!CJ27</f>
        <v>-436.06870446189714</v>
      </c>
      <c r="G182" s="191">
        <f>INPUT!CK27</f>
        <v>-314.94994178543857</v>
      </c>
      <c r="H182" s="191">
        <f>0.75*INPUT!CV27</f>
        <v>11.551097862036368</v>
      </c>
      <c r="I182" s="191">
        <f>0.75*INPUT!CW27</f>
        <v>-212.85135393178524</v>
      </c>
      <c r="J182" s="445">
        <f>(IF(C182&gt;=0,H182,I182)*2+SUM(C182:G182))/2</f>
        <v>-1527.5086588338152</v>
      </c>
      <c r="K182" s="184">
        <f>J182/COS(INPUT!P27)</f>
        <v>-1539.5205101613674</v>
      </c>
      <c r="L182" s="489" t="str">
        <f>IF(ABS(K182)&lt;=B182,"OK","NG")</f>
        <v>OK</v>
      </c>
      <c r="M182" s="391">
        <f>B182/ABS(K182)</f>
        <v>1.5633427783340699</v>
      </c>
      <c r="N182" s="4"/>
    </row>
    <row r="183">
      <c r="A183" s="187">
        <f>A79</f>
        <v>101</v>
      </c>
      <c r="B183" s="191">
        <f>INPUT!CU28</f>
        <v>2406.7982716579568</v>
      </c>
      <c r="C183" s="191">
        <f>INPUT!BB28</f>
        <v>-683.35517469674232</v>
      </c>
      <c r="D183" s="191">
        <f>INPUT!BC28</f>
        <v>-0.91059939832501868</v>
      </c>
      <c r="E183" s="191">
        <f>INPUT!BD28</f>
        <v>-1194.0301894616569</v>
      </c>
      <c r="F183" s="191">
        <f>INPUT!CJ28</f>
        <v>-436.06870446189714</v>
      </c>
      <c r="G183" s="191">
        <f>INPUT!CK28</f>
        <v>-314.94994178543857</v>
      </c>
      <c r="H183" s="191">
        <f>0.75*INPUT!CV28</f>
        <v>11.551097862036368</v>
      </c>
      <c r="I183" s="191">
        <f>0.75*INPUT!CW28</f>
        <v>-212.85135393178524</v>
      </c>
      <c r="J183" s="445">
        <f>(IF(C183&gt;=0,H183,I183)*2+SUM(C183:G183))/2</f>
        <v>-1527.5086588338152</v>
      </c>
      <c r="K183" s="184">
        <f>J183/COS(INPUT!P28)</f>
        <v>-1539.5205101613674</v>
      </c>
      <c r="L183" s="489" t="str">
        <f>IF(ABS(K183)&lt;=B183,"OK","NG")</f>
        <v>OK</v>
      </c>
      <c r="M183" s="391">
        <f>B183/ABS(K183)</f>
        <v>1.5633427783340699</v>
      </c>
      <c r="N183" s="4"/>
    </row>
    <row r="184">
      <c r="A184" s="187">
        <f>A80</f>
        <v>101</v>
      </c>
      <c r="B184" s="191">
        <f>INPUT!CU29</f>
        <v>2406.7982716579568</v>
      </c>
      <c r="C184" s="191">
        <f>INPUT!BB29</f>
        <v>-683.35517469674232</v>
      </c>
      <c r="D184" s="191">
        <f>INPUT!BC29</f>
        <v>-0.91059939832501868</v>
      </c>
      <c r="E184" s="191">
        <f>INPUT!BD29</f>
        <v>-1194.0301894616569</v>
      </c>
      <c r="F184" s="191">
        <f>INPUT!CJ29</f>
        <v>-436.06870446189714</v>
      </c>
      <c r="G184" s="191">
        <f>INPUT!CK29</f>
        <v>-314.94994178543857</v>
      </c>
      <c r="H184" s="191">
        <f>0.75*INPUT!CV29</f>
        <v>11.551097862036368</v>
      </c>
      <c r="I184" s="191">
        <f>0.75*INPUT!CW29</f>
        <v>-212.85135393178524</v>
      </c>
      <c r="J184" s="445">
        <f>(IF(C184&gt;=0,H184,I184)*2+SUM(C184:G184))/2</f>
        <v>-1527.5086588338152</v>
      </c>
      <c r="K184" s="184">
        <f>J184/COS(INPUT!P29)</f>
        <v>-1539.5205101613674</v>
      </c>
      <c r="L184" s="489" t="str">
        <f>IF(ABS(K184)&lt;=B184,"OK","NG")</f>
        <v>OK</v>
      </c>
      <c r="M184" s="391">
        <f>B184/ABS(K184)</f>
        <v>1.5633427783340699</v>
      </c>
      <c r="N184" s="4"/>
    </row>
    <row r="185">
      <c r="A185" s="187">
        <f>A81</f>
        <v>101</v>
      </c>
      <c r="B185" s="191">
        <f>INPUT!CU30</f>
        <v>2406.7982716579568</v>
      </c>
      <c r="C185" s="191">
        <f>INPUT!BB30</f>
        <v>-683.35517469674232</v>
      </c>
      <c r="D185" s="191">
        <f>INPUT!BC30</f>
        <v>-0.91059939832501868</v>
      </c>
      <c r="E185" s="191">
        <f>INPUT!BD30</f>
        <v>-1194.0301894616569</v>
      </c>
      <c r="F185" s="191">
        <f>INPUT!CJ30</f>
        <v>-436.06870446189714</v>
      </c>
      <c r="G185" s="191">
        <f>INPUT!CK30</f>
        <v>-314.94994178543857</v>
      </c>
      <c r="H185" s="191">
        <f>0.75*INPUT!CV30</f>
        <v>11.551097862036368</v>
      </c>
      <c r="I185" s="191">
        <f>0.75*INPUT!CW30</f>
        <v>-212.85135393178524</v>
      </c>
      <c r="J185" s="445">
        <f>(IF(C185&gt;=0,H185,I185)*2+SUM(C185:G185))/2</f>
        <v>-1527.5086588338152</v>
      </c>
      <c r="K185" s="184">
        <f>J185/COS(INPUT!P30)</f>
        <v>-1539.5205101613674</v>
      </c>
      <c r="L185" s="489" t="str">
        <f>IF(ABS(K185)&lt;=B185,"OK","NG")</f>
        <v>OK</v>
      </c>
      <c r="M185" s="391">
        <f>B185/ABS(K185)</f>
        <v>1.5633427783340699</v>
      </c>
      <c r="N185" s="4"/>
    </row>
    <row r="186">
      <c r="A186" s="187">
        <f>A82</f>
        <v>101</v>
      </c>
      <c r="B186" s="191">
        <f>INPUT!CU31</f>
        <v>2406.7982716579568</v>
      </c>
      <c r="C186" s="191">
        <f>INPUT!BB31</f>
        <v>-683.35517469674232</v>
      </c>
      <c r="D186" s="191">
        <f>INPUT!BC31</f>
        <v>-0.91059939832501868</v>
      </c>
      <c r="E186" s="191">
        <f>INPUT!BD31</f>
        <v>-1194.0301894616569</v>
      </c>
      <c r="F186" s="191">
        <f>INPUT!CJ31</f>
        <v>-436.06870446189714</v>
      </c>
      <c r="G186" s="191">
        <f>INPUT!CK31</f>
        <v>-314.94994178543857</v>
      </c>
      <c r="H186" s="191">
        <f>0.75*INPUT!CV31</f>
        <v>11.551097862036368</v>
      </c>
      <c r="I186" s="191">
        <f>0.75*INPUT!CW31</f>
        <v>-212.85135393178524</v>
      </c>
      <c r="J186" s="445">
        <f>(IF(C186&gt;=0,H186,I186)*2+SUM(C186:G186))/2</f>
        <v>-1527.5086588338152</v>
      </c>
      <c r="K186" s="184">
        <f>J186/COS(INPUT!P31)</f>
        <v>-1539.5205101613674</v>
      </c>
      <c r="L186" s="489" t="str">
        <f>IF(ABS(K186)&lt;=B186,"OK","NG")</f>
        <v>OK</v>
      </c>
      <c r="M186" s="391">
        <f>B186/ABS(K186)</f>
        <v>1.5633427783340699</v>
      </c>
      <c r="N186" s="4"/>
    </row>
    <row r="187">
      <c r="A187" s="187">
        <f>A83</f>
        <v>101</v>
      </c>
      <c r="B187" s="191">
        <f>INPUT!CU32</f>
        <v>2406.7982716579568</v>
      </c>
      <c r="C187" s="191">
        <f>INPUT!BB32</f>
        <v>-683.35517469674232</v>
      </c>
      <c r="D187" s="191">
        <f>INPUT!BC32</f>
        <v>-0.91059939832501868</v>
      </c>
      <c r="E187" s="191">
        <f>INPUT!BD32</f>
        <v>-1194.0301894616569</v>
      </c>
      <c r="F187" s="191">
        <f>INPUT!CJ32</f>
        <v>-436.06870446189714</v>
      </c>
      <c r="G187" s="191">
        <f>INPUT!CK32</f>
        <v>-314.94994178543857</v>
      </c>
      <c r="H187" s="191">
        <f>0.75*INPUT!CV32</f>
        <v>11.551097862036368</v>
      </c>
      <c r="I187" s="191">
        <f>0.75*INPUT!CW32</f>
        <v>-212.85135393178524</v>
      </c>
      <c r="J187" s="445">
        <f>(IF(C187&gt;=0,H187,I187)*2+SUM(C187:G187))/2</f>
        <v>-1527.5086588338152</v>
      </c>
      <c r="K187" s="184">
        <f>J187/COS(INPUT!P32)</f>
        <v>-1539.5205101613674</v>
      </c>
      <c r="L187" s="489" t="str">
        <f>IF(ABS(K187)&lt;=B187,"OK","NG")</f>
        <v>OK</v>
      </c>
      <c r="M187" s="391">
        <f>B187/ABS(K187)</f>
        <v>1.5633427783340699</v>
      </c>
      <c r="N187" s="4"/>
    </row>
    <row r="188">
      <c r="A188" s="187">
        <f>A84</f>
        <v>101</v>
      </c>
      <c r="B188" s="191">
        <f>INPUT!CU33</f>
        <v>2406.7982716579568</v>
      </c>
      <c r="C188" s="191">
        <f>INPUT!BB33</f>
        <v>-683.35517469674232</v>
      </c>
      <c r="D188" s="191">
        <f>INPUT!BC33</f>
        <v>-0.91059939832501868</v>
      </c>
      <c r="E188" s="191">
        <f>INPUT!BD33</f>
        <v>-1194.0301894616569</v>
      </c>
      <c r="F188" s="191">
        <f>INPUT!CJ33</f>
        <v>-436.06870446189714</v>
      </c>
      <c r="G188" s="191">
        <f>INPUT!CK33</f>
        <v>-314.94994178543857</v>
      </c>
      <c r="H188" s="191">
        <f>0.75*INPUT!CV33</f>
        <v>11.551097862036368</v>
      </c>
      <c r="I188" s="191">
        <f>0.75*INPUT!CW33</f>
        <v>-212.85135393178524</v>
      </c>
      <c r="J188" s="445">
        <f>(IF(C188&gt;=0,H188,I188)*2+SUM(C188:G188))/2</f>
        <v>-1527.5086588338152</v>
      </c>
      <c r="K188" s="184">
        <f>J188/COS(INPUT!P33)</f>
        <v>-1539.5205101613674</v>
      </c>
      <c r="L188" s="489" t="str">
        <f>IF(ABS(K188)&lt;=B188,"OK","NG")</f>
        <v>OK</v>
      </c>
      <c r="M188" s="391">
        <f>B188/ABS(K188)</f>
        <v>1.5633427783340699</v>
      </c>
      <c r="N188" s="4"/>
    </row>
    <row r="189">
      <c r="A189" s="187">
        <f>A85</f>
        <v>101</v>
      </c>
      <c r="B189" s="191">
        <f>INPUT!CU34</f>
        <v>2406.7982716579568</v>
      </c>
      <c r="C189" s="191">
        <f>INPUT!BB34</f>
        <v>-683.35517469674232</v>
      </c>
      <c r="D189" s="191">
        <f>INPUT!BC34</f>
        <v>-0.91059939832501868</v>
      </c>
      <c r="E189" s="191">
        <f>INPUT!BD34</f>
        <v>-1194.0301894616569</v>
      </c>
      <c r="F189" s="191">
        <f>INPUT!CJ34</f>
        <v>-436.06870446189714</v>
      </c>
      <c r="G189" s="191">
        <f>INPUT!CK34</f>
        <v>-314.94994178543857</v>
      </c>
      <c r="H189" s="191">
        <f>0.75*INPUT!CV34</f>
        <v>11.551097862036368</v>
      </c>
      <c r="I189" s="191">
        <f>0.75*INPUT!CW34</f>
        <v>-212.85135393178524</v>
      </c>
      <c r="J189" s="445">
        <f>(IF(C189&gt;=0,H189,I189)*2+SUM(C189:G189))/2</f>
        <v>-1527.5086588338152</v>
      </c>
      <c r="K189" s="184">
        <f>J189/COS(INPUT!P34)</f>
        <v>-1539.5205101613674</v>
      </c>
      <c r="L189" s="489" t="str">
        <f>IF(ABS(K189)&lt;=B189,"OK","NG")</f>
        <v>OK</v>
      </c>
      <c r="M189" s="391">
        <f>B189/ABS(K189)</f>
        <v>1.5633427783340699</v>
      </c>
      <c r="N189" s="4"/>
    </row>
    <row r="190">
      <c r="A190" s="187">
        <f>A86</f>
        <v>101</v>
      </c>
      <c r="B190" s="191">
        <f>INPUT!CU35</f>
        <v>2406.7982716579568</v>
      </c>
      <c r="C190" s="191">
        <f>INPUT!BB35</f>
        <v>-683.35517469674232</v>
      </c>
      <c r="D190" s="191">
        <f>INPUT!BC35</f>
        <v>-0.91059939832501868</v>
      </c>
      <c r="E190" s="191">
        <f>INPUT!BD35</f>
        <v>-1194.0301894616569</v>
      </c>
      <c r="F190" s="191">
        <f>INPUT!CJ35</f>
        <v>-436.06870446189714</v>
      </c>
      <c r="G190" s="191">
        <f>INPUT!CK35</f>
        <v>-314.94994178543857</v>
      </c>
      <c r="H190" s="191">
        <f>0.75*INPUT!CV35</f>
        <v>11.551097862036368</v>
      </c>
      <c r="I190" s="191">
        <f>0.75*INPUT!CW35</f>
        <v>-212.85135393178524</v>
      </c>
      <c r="J190" s="445">
        <f>(IF(C190&gt;=0,H190,I190)*2+SUM(C190:G190))/2</f>
        <v>-1527.5086588338152</v>
      </c>
      <c r="K190" s="184">
        <f>J190/COS(INPUT!P35)</f>
        <v>-1539.5205101613674</v>
      </c>
      <c r="L190" s="489" t="str">
        <f>IF(ABS(K190)&lt;=B190,"OK","NG")</f>
        <v>OK</v>
      </c>
      <c r="M190" s="391">
        <f>B190/ABS(K190)</f>
        <v>1.5633427783340699</v>
      </c>
      <c r="N190" s="4"/>
    </row>
    <row r="191">
      <c r="A191" s="187">
        <f>A87</f>
        <v>101</v>
      </c>
      <c r="B191" s="191">
        <f>INPUT!CU36</f>
        <v>2406.7982716579568</v>
      </c>
      <c r="C191" s="191">
        <f>INPUT!BB36</f>
        <v>-683.35517469674232</v>
      </c>
      <c r="D191" s="191">
        <f>INPUT!BC36</f>
        <v>-0.91059939832501868</v>
      </c>
      <c r="E191" s="191">
        <f>INPUT!BD36</f>
        <v>-1194.0301894616569</v>
      </c>
      <c r="F191" s="191">
        <f>INPUT!CJ36</f>
        <v>-436.06870446189714</v>
      </c>
      <c r="G191" s="191">
        <f>INPUT!CK36</f>
        <v>-314.94994178543857</v>
      </c>
      <c r="H191" s="191">
        <f>0.75*INPUT!CV36</f>
        <v>11.551097862036368</v>
      </c>
      <c r="I191" s="191">
        <f>0.75*INPUT!CW36</f>
        <v>-212.85135393178524</v>
      </c>
      <c r="J191" s="445">
        <f>(IF(C191&gt;=0,H191,I191)*2+SUM(C191:G191))/2</f>
        <v>-1527.5086588338152</v>
      </c>
      <c r="K191" s="184">
        <f>J191/COS(INPUT!P36)</f>
        <v>-1539.5205101613674</v>
      </c>
      <c r="L191" s="489" t="str">
        <f>IF(ABS(K191)&lt;=B191,"OK","NG")</f>
        <v>OK</v>
      </c>
      <c r="M191" s="391">
        <f>B191/ABS(K191)</f>
        <v>1.5633427783340699</v>
      </c>
      <c r="N191" s="4"/>
    </row>
    <row r="192">
      <c r="A192" s="187">
        <f>A88</f>
        <v>101</v>
      </c>
      <c r="B192" s="191">
        <f>INPUT!CU37</f>
        <v>2406.7982716579568</v>
      </c>
      <c r="C192" s="191">
        <f>INPUT!BB37</f>
        <v>-683.35517469674232</v>
      </c>
      <c r="D192" s="191">
        <f>INPUT!BC37</f>
        <v>-0.91059939832501868</v>
      </c>
      <c r="E192" s="191">
        <f>INPUT!BD37</f>
        <v>-1194.0301894616569</v>
      </c>
      <c r="F192" s="191">
        <f>INPUT!CJ37</f>
        <v>-436.06870446189714</v>
      </c>
      <c r="G192" s="191">
        <f>INPUT!CK37</f>
        <v>-314.94994178543857</v>
      </c>
      <c r="H192" s="191">
        <f>0.75*INPUT!CV37</f>
        <v>11.551097862036368</v>
      </c>
      <c r="I192" s="191">
        <f>0.75*INPUT!CW37</f>
        <v>-212.85135393178524</v>
      </c>
      <c r="J192" s="445">
        <f>(IF(C192&gt;=0,H192,I192)*2+SUM(C192:G192))/2</f>
        <v>-1527.5086588338152</v>
      </c>
      <c r="K192" s="184">
        <f>J192/COS(INPUT!P37)</f>
        <v>-1539.5205101613674</v>
      </c>
      <c r="L192" s="489" t="str">
        <f>IF(ABS(K192)&lt;=B192,"OK","NG")</f>
        <v>OK</v>
      </c>
      <c r="M192" s="391">
        <f>B192/ABS(K192)</f>
        <v>1.5633427783340699</v>
      </c>
      <c r="N192" s="4"/>
    </row>
    <row r="193">
      <c r="A193" s="187">
        <f>A89</f>
        <v>101</v>
      </c>
      <c r="B193" s="191">
        <f>INPUT!CU38</f>
        <v>2406.7982716579568</v>
      </c>
      <c r="C193" s="191">
        <f>INPUT!BB38</f>
        <v>-683.35517469674232</v>
      </c>
      <c r="D193" s="191">
        <f>INPUT!BC38</f>
        <v>-0.91059939832501868</v>
      </c>
      <c r="E193" s="191">
        <f>INPUT!BD38</f>
        <v>-1194.0301894616569</v>
      </c>
      <c r="F193" s="191">
        <f>INPUT!CJ38</f>
        <v>-436.06870446189714</v>
      </c>
      <c r="G193" s="191">
        <f>INPUT!CK38</f>
        <v>-314.94994178543857</v>
      </c>
      <c r="H193" s="191">
        <f>0.75*INPUT!CV38</f>
        <v>11.551097862036368</v>
      </c>
      <c r="I193" s="191">
        <f>0.75*INPUT!CW38</f>
        <v>-212.85135393178524</v>
      </c>
      <c r="J193" s="445">
        <f>(IF(C193&gt;=0,H193,I193)*2+SUM(C193:G193))/2</f>
        <v>-1527.5086588338152</v>
      </c>
      <c r="K193" s="184">
        <f>J193/COS(INPUT!P38)</f>
        <v>-1539.5205101613674</v>
      </c>
      <c r="L193" s="489" t="str">
        <f>IF(ABS(K193)&lt;=B193,"OK","NG")</f>
        <v>OK</v>
      </c>
      <c r="M193" s="391">
        <f>B193/ABS(K193)</f>
        <v>1.5633427783340699</v>
      </c>
      <c r="N193" s="4"/>
    </row>
    <row r="194">
      <c r="A194" s="187">
        <f>A90</f>
        <v>101</v>
      </c>
      <c r="B194" s="191">
        <f>INPUT!CU39</f>
        <v>2406.7982716579568</v>
      </c>
      <c r="C194" s="191">
        <f>INPUT!BB39</f>
        <v>-683.35517469674232</v>
      </c>
      <c r="D194" s="191">
        <f>INPUT!BC39</f>
        <v>-0.91059939832501868</v>
      </c>
      <c r="E194" s="191">
        <f>INPUT!BD39</f>
        <v>-1194.0301894616569</v>
      </c>
      <c r="F194" s="191">
        <f>INPUT!CJ39</f>
        <v>-436.06870446189714</v>
      </c>
      <c r="G194" s="191">
        <f>INPUT!CK39</f>
        <v>-314.94994178543857</v>
      </c>
      <c r="H194" s="191">
        <f>0.75*INPUT!CV39</f>
        <v>11.551097862036368</v>
      </c>
      <c r="I194" s="191">
        <f>0.75*INPUT!CW39</f>
        <v>-212.85135393178524</v>
      </c>
      <c r="J194" s="445">
        <f>(IF(C194&gt;=0,H194,I194)*2+SUM(C194:G194))/2</f>
        <v>-1527.5086588338152</v>
      </c>
      <c r="K194" s="184">
        <f>J194/COS(INPUT!P39)</f>
        <v>-1539.5205101613674</v>
      </c>
      <c r="L194" s="489" t="str">
        <f>IF(ABS(K194)&lt;=B194,"OK","NG")</f>
        <v>OK</v>
      </c>
      <c r="M194" s="391">
        <f>B194/ABS(K194)</f>
        <v>1.5633427783340699</v>
      </c>
      <c r="N194" s="4"/>
    </row>
    <row r="195">
      <c r="A195" s="187">
        <f>A91</f>
        <v>101</v>
      </c>
      <c r="B195" s="191">
        <f>INPUT!CU40</f>
        <v>2406.7982716579568</v>
      </c>
      <c r="C195" s="191">
        <f>INPUT!BB40</f>
        <v>-683.35517469674232</v>
      </c>
      <c r="D195" s="191">
        <f>INPUT!BC40</f>
        <v>-0.91059939832501868</v>
      </c>
      <c r="E195" s="191">
        <f>INPUT!BD40</f>
        <v>-1194.0301894616569</v>
      </c>
      <c r="F195" s="191">
        <f>INPUT!CJ40</f>
        <v>-436.06870446189714</v>
      </c>
      <c r="G195" s="191">
        <f>INPUT!CK40</f>
        <v>-314.94994178543857</v>
      </c>
      <c r="H195" s="191">
        <f>0.75*INPUT!CV40</f>
        <v>11.551097862036368</v>
      </c>
      <c r="I195" s="191">
        <f>0.75*INPUT!CW40</f>
        <v>-212.85135393178524</v>
      </c>
      <c r="J195" s="445">
        <f>(IF(C195&gt;=0,H195,I195)*2+SUM(C195:G195))/2</f>
        <v>-1527.5086588338152</v>
      </c>
      <c r="K195" s="184">
        <f>J195/COS(INPUT!P40)</f>
        <v>-1539.5205101613674</v>
      </c>
      <c r="L195" s="489" t="str">
        <f>IF(ABS(K195)&lt;=B195,"OK","NG")</f>
        <v>OK</v>
      </c>
      <c r="M195" s="391">
        <f>B195/ABS(K195)</f>
        <v>1.5633427783340699</v>
      </c>
      <c r="N195" s="4"/>
    </row>
    <row r="196">
      <c r="A196" s="187">
        <f>A92</f>
        <v>101</v>
      </c>
      <c r="B196" s="191">
        <f>INPUT!CU41</f>
        <v>2406.7982716579568</v>
      </c>
      <c r="C196" s="191">
        <f>INPUT!BB41</f>
        <v>-683.35517469674232</v>
      </c>
      <c r="D196" s="191">
        <f>INPUT!BC41</f>
        <v>-0.91059939832501868</v>
      </c>
      <c r="E196" s="191">
        <f>INPUT!BD41</f>
        <v>-1194.0301894616569</v>
      </c>
      <c r="F196" s="191">
        <f>INPUT!CJ41</f>
        <v>-436.06870446189714</v>
      </c>
      <c r="G196" s="191">
        <f>INPUT!CK41</f>
        <v>-314.94994178543857</v>
      </c>
      <c r="H196" s="191">
        <f>0.75*INPUT!CV41</f>
        <v>11.551097862036368</v>
      </c>
      <c r="I196" s="191">
        <f>0.75*INPUT!CW41</f>
        <v>-212.85135393178524</v>
      </c>
      <c r="J196" s="445">
        <f>(IF(C196&gt;=0,H196,I196)*2+SUM(C196:G196))/2</f>
        <v>-1527.5086588338152</v>
      </c>
      <c r="K196" s="184">
        <f>J196/COS(INPUT!P41)</f>
        <v>-1539.5205101613674</v>
      </c>
      <c r="L196" s="489" t="str">
        <f>IF(ABS(K196)&lt;=B196,"OK","NG")</f>
        <v>OK</v>
      </c>
      <c r="M196" s="391">
        <f>B196/ABS(K196)</f>
        <v>1.5633427783340699</v>
      </c>
      <c r="N196" s="4"/>
    </row>
    <row r="197">
      <c r="A197" s="187">
        <f>A93</f>
        <v>101</v>
      </c>
      <c r="B197" s="191">
        <f>INPUT!CU42</f>
        <v>2406.7982716579568</v>
      </c>
      <c r="C197" s="191">
        <f>INPUT!BB42</f>
        <v>-683.35517469674232</v>
      </c>
      <c r="D197" s="191">
        <f>INPUT!BC42</f>
        <v>-0.91059939832501868</v>
      </c>
      <c r="E197" s="191">
        <f>INPUT!BD42</f>
        <v>-1194.0301894616569</v>
      </c>
      <c r="F197" s="191">
        <f>INPUT!CJ42</f>
        <v>-436.06870446189714</v>
      </c>
      <c r="G197" s="191">
        <f>INPUT!CK42</f>
        <v>-314.94994178543857</v>
      </c>
      <c r="H197" s="191">
        <f>0.75*INPUT!CV42</f>
        <v>11.551097862036368</v>
      </c>
      <c r="I197" s="191">
        <f>0.75*INPUT!CW42</f>
        <v>-212.85135393178524</v>
      </c>
      <c r="J197" s="445">
        <f>(IF(C197&gt;=0,H197,I197)*2+SUM(C197:G197))/2</f>
        <v>-1527.5086588338152</v>
      </c>
      <c r="K197" s="184">
        <f>J197/COS(INPUT!P42)</f>
        <v>-1539.5205101613674</v>
      </c>
      <c r="L197" s="489" t="str">
        <f>IF(ABS(K197)&lt;=B197,"OK","NG")</f>
        <v>OK</v>
      </c>
      <c r="M197" s="391">
        <f>B197/ABS(K197)</f>
        <v>1.5633427783340699</v>
      </c>
      <c r="N197" s="4"/>
    </row>
    <row r="198">
      <c r="A198" s="187">
        <f>A94</f>
        <v>101</v>
      </c>
      <c r="B198" s="191">
        <f>INPUT!CU43</f>
        <v>2406.7982716579568</v>
      </c>
      <c r="C198" s="191">
        <f>INPUT!BB43</f>
        <v>-683.35517469674232</v>
      </c>
      <c r="D198" s="191">
        <f>INPUT!BC43</f>
        <v>-0.91059939832501868</v>
      </c>
      <c r="E198" s="191">
        <f>INPUT!BD43</f>
        <v>-1194.0301894616569</v>
      </c>
      <c r="F198" s="191">
        <f>INPUT!CJ43</f>
        <v>-436.06870446189714</v>
      </c>
      <c r="G198" s="191">
        <f>INPUT!CK43</f>
        <v>-314.94994178543857</v>
      </c>
      <c r="H198" s="191">
        <f>0.75*INPUT!CV43</f>
        <v>11.551097862036368</v>
      </c>
      <c r="I198" s="191">
        <f>0.75*INPUT!CW43</f>
        <v>-212.85135393178524</v>
      </c>
      <c r="J198" s="445">
        <f>(IF(C198&gt;=0,H198,I198)*2+SUM(C198:G198))/2</f>
        <v>-1527.5086588338152</v>
      </c>
      <c r="K198" s="184">
        <f>J198/COS(INPUT!P43)</f>
        <v>-1539.5205101613674</v>
      </c>
      <c r="L198" s="489" t="str">
        <f>IF(ABS(K198)&lt;=B198,"OK","NG")</f>
        <v>OK</v>
      </c>
      <c r="M198" s="391">
        <f>B198/ABS(K198)</f>
        <v>1.5633427783340699</v>
      </c>
      <c r="N198" s="4"/>
    </row>
    <row r="199">
      <c r="A199" s="187">
        <f>A95</f>
        <v>101</v>
      </c>
      <c r="B199" s="191">
        <f>INPUT!CU44</f>
        <v>2406.7982716579568</v>
      </c>
      <c r="C199" s="191">
        <f>INPUT!BB44</f>
        <v>-683.35517469674232</v>
      </c>
      <c r="D199" s="191">
        <f>INPUT!BC44</f>
        <v>-0.91059939832501868</v>
      </c>
      <c r="E199" s="191">
        <f>INPUT!BD44</f>
        <v>-1194.0301894616569</v>
      </c>
      <c r="F199" s="191">
        <f>INPUT!CJ44</f>
        <v>-436.06870446189714</v>
      </c>
      <c r="G199" s="191">
        <f>INPUT!CK44</f>
        <v>-314.94994178543857</v>
      </c>
      <c r="H199" s="191">
        <f>0.75*INPUT!CV44</f>
        <v>11.551097862036368</v>
      </c>
      <c r="I199" s="191">
        <f>0.75*INPUT!CW44</f>
        <v>-212.85135393178524</v>
      </c>
      <c r="J199" s="445">
        <f>(IF(C199&gt;=0,H199,I199)*2+SUM(C199:G199))/2</f>
        <v>-1527.5086588338152</v>
      </c>
      <c r="K199" s="184">
        <f>J199/COS(INPUT!P44)</f>
        <v>-1539.5205101613674</v>
      </c>
      <c r="L199" s="489" t="str">
        <f>IF(ABS(K199)&lt;=B199,"OK","NG")</f>
        <v>OK</v>
      </c>
      <c r="M199" s="391">
        <f>B199/ABS(K199)</f>
        <v>1.5633427783340699</v>
      </c>
      <c r="N199" s="4"/>
    </row>
    <row r="200">
      <c r="A200" s="187">
        <f>A96</f>
        <v>101</v>
      </c>
      <c r="B200" s="191">
        <f>INPUT!CU45</f>
        <v>2406.7982716579568</v>
      </c>
      <c r="C200" s="191">
        <f>INPUT!BB45</f>
        <v>-683.35517469674232</v>
      </c>
      <c r="D200" s="191">
        <f>INPUT!BC45</f>
        <v>-0.91059939832501868</v>
      </c>
      <c r="E200" s="191">
        <f>INPUT!BD45</f>
        <v>-1194.0301894616569</v>
      </c>
      <c r="F200" s="191">
        <f>INPUT!CJ45</f>
        <v>-436.06870446189714</v>
      </c>
      <c r="G200" s="191">
        <f>INPUT!CK45</f>
        <v>-314.94994178543857</v>
      </c>
      <c r="H200" s="191">
        <f>0.75*INPUT!CV45</f>
        <v>11.551097862036368</v>
      </c>
      <c r="I200" s="191">
        <f>0.75*INPUT!CW45</f>
        <v>-212.85135393178524</v>
      </c>
      <c r="J200" s="445">
        <f>(IF(C200&gt;=0,H200,I200)*2+SUM(C200:G200))/2</f>
        <v>-1527.5086588338152</v>
      </c>
      <c r="K200" s="184">
        <f>J200/COS(INPUT!P45)</f>
        <v>-1539.5205101613674</v>
      </c>
      <c r="L200" s="489" t="str">
        <f>IF(ABS(K200)&lt;=B200,"OK","NG")</f>
        <v>OK</v>
      </c>
      <c r="M200" s="391">
        <f>B200/ABS(K200)</f>
        <v>1.5633427783340699</v>
      </c>
      <c r="N200" s="4"/>
    </row>
    <row r="201">
      <c r="A201" s="187">
        <f>A97</f>
        <v>101</v>
      </c>
      <c r="B201" s="191">
        <f>INPUT!CU46</f>
        <v>2406.7982716579568</v>
      </c>
      <c r="C201" s="191">
        <f>INPUT!BB46</f>
        <v>-683.35517469674232</v>
      </c>
      <c r="D201" s="191">
        <f>INPUT!BC46</f>
        <v>-0.91059939832501868</v>
      </c>
      <c r="E201" s="191">
        <f>INPUT!BD46</f>
        <v>-1194.0301894616569</v>
      </c>
      <c r="F201" s="191">
        <f>INPUT!CJ46</f>
        <v>-436.06870446189714</v>
      </c>
      <c r="G201" s="191">
        <f>INPUT!CK46</f>
        <v>-314.94994178543857</v>
      </c>
      <c r="H201" s="191">
        <f>0.75*INPUT!CV46</f>
        <v>11.551097862036368</v>
      </c>
      <c r="I201" s="191">
        <f>0.75*INPUT!CW46</f>
        <v>-212.85135393178524</v>
      </c>
      <c r="J201" s="445">
        <f>(IF(C201&gt;=0,H201,I201)*2+SUM(C201:G201))/2</f>
        <v>-1527.5086588338152</v>
      </c>
      <c r="K201" s="184">
        <f>J201/COS(INPUT!P46)</f>
        <v>-1539.5205101613674</v>
      </c>
      <c r="L201" s="489" t="str">
        <f>IF(ABS(K201)&lt;=B201,"OK","NG")</f>
        <v>OK</v>
      </c>
      <c r="M201" s="391">
        <f>B201/ABS(K201)</f>
        <v>1.5633427783340699</v>
      </c>
      <c r="N201" s="4"/>
    </row>
    <row r="202">
      <c r="A202" s="187">
        <f>A98</f>
        <v>101</v>
      </c>
      <c r="B202" s="191">
        <f>INPUT!CU47</f>
        <v>2406.7982716579568</v>
      </c>
      <c r="C202" s="191">
        <f>INPUT!BB47</f>
        <v>-683.35517469674232</v>
      </c>
      <c r="D202" s="191">
        <f>INPUT!BC47</f>
        <v>-0.91059939832501868</v>
      </c>
      <c r="E202" s="191">
        <f>INPUT!BD47</f>
        <v>-1194.0301894616569</v>
      </c>
      <c r="F202" s="191">
        <f>INPUT!CJ47</f>
        <v>-436.06870446189714</v>
      </c>
      <c r="G202" s="191">
        <f>INPUT!CK47</f>
        <v>-314.94994178543857</v>
      </c>
      <c r="H202" s="191">
        <f>0.75*INPUT!CV47</f>
        <v>11.551097862036368</v>
      </c>
      <c r="I202" s="191">
        <f>0.75*INPUT!CW47</f>
        <v>-212.85135393178524</v>
      </c>
      <c r="J202" s="445">
        <f>(IF(C202&gt;=0,H202,I202)*2+SUM(C202:G202))/2</f>
        <v>-1527.5086588338152</v>
      </c>
      <c r="K202" s="184">
        <f>J202/COS(INPUT!P47)</f>
        <v>-1539.5205101613674</v>
      </c>
      <c r="L202" s="489" t="str">
        <f>IF(ABS(K202)&lt;=B202,"OK","NG")</f>
        <v>OK</v>
      </c>
      <c r="M202" s="391">
        <f>B202/ABS(K202)</f>
        <v>1.5633427783340699</v>
      </c>
      <c r="N202" s="4"/>
    </row>
    <row r="203">
      <c r="A203" s="187">
        <f>A99</f>
        <v>101</v>
      </c>
      <c r="B203" s="191">
        <f>INPUT!CU48</f>
        <v>2406.7982716579568</v>
      </c>
      <c r="C203" s="191">
        <f>INPUT!BB48</f>
        <v>-683.35517469674232</v>
      </c>
      <c r="D203" s="191">
        <f>INPUT!BC48</f>
        <v>-0.91059939832501868</v>
      </c>
      <c r="E203" s="191">
        <f>INPUT!BD48</f>
        <v>-1194.0301894616569</v>
      </c>
      <c r="F203" s="191">
        <f>INPUT!CJ48</f>
        <v>-436.06870446189714</v>
      </c>
      <c r="G203" s="191">
        <f>INPUT!CK48</f>
        <v>-314.94994178543857</v>
      </c>
      <c r="H203" s="191">
        <f>0.75*INPUT!CV48</f>
        <v>11.551097862036368</v>
      </c>
      <c r="I203" s="191">
        <f>0.75*INPUT!CW48</f>
        <v>-212.85135393178524</v>
      </c>
      <c r="J203" s="445">
        <f>(IF(C203&gt;=0,H203,I203)*2+SUM(C203:G203))/2</f>
        <v>-1527.5086588338152</v>
      </c>
      <c r="K203" s="184">
        <f>J203/COS(INPUT!P48)</f>
        <v>-1539.5205101613674</v>
      </c>
      <c r="L203" s="489" t="str">
        <f>IF(ABS(K203)&lt;=B203,"OK","NG")</f>
        <v>OK</v>
      </c>
      <c r="M203" s="391">
        <f>B203/ABS(K203)</f>
        <v>1.5633427783340699</v>
      </c>
      <c r="N203" s="4"/>
    </row>
    <row r="204">
      <c r="A204" s="187">
        <f>A100</f>
        <v>101</v>
      </c>
      <c r="B204" s="191">
        <f>INPUT!CU49</f>
        <v>2406.7982716579568</v>
      </c>
      <c r="C204" s="191">
        <f>INPUT!BB49</f>
        <v>-683.35517469674232</v>
      </c>
      <c r="D204" s="191">
        <f>INPUT!BC49</f>
        <v>-0.91059939832501868</v>
      </c>
      <c r="E204" s="191">
        <f>INPUT!BD49</f>
        <v>-1194.0301894616569</v>
      </c>
      <c r="F204" s="191">
        <f>INPUT!CJ49</f>
        <v>-436.06870446189714</v>
      </c>
      <c r="G204" s="191">
        <f>INPUT!CK49</f>
        <v>-314.94994178543857</v>
      </c>
      <c r="H204" s="191">
        <f>0.75*INPUT!CV49</f>
        <v>11.551097862036368</v>
      </c>
      <c r="I204" s="191">
        <f>0.75*INPUT!CW49</f>
        <v>-212.85135393178524</v>
      </c>
      <c r="J204" s="445">
        <f>(IF(C204&gt;=0,H204,I204)*2+SUM(C204:G204))/2</f>
        <v>-1527.5086588338152</v>
      </c>
      <c r="K204" s="184">
        <f>J204/COS(INPUT!P49)</f>
        <v>-1539.5205101613674</v>
      </c>
      <c r="L204" s="489" t="str">
        <f>IF(ABS(K204)&lt;=B204,"OK","NG")</f>
        <v>OK</v>
      </c>
      <c r="M204" s="391">
        <f>B204/ABS(K204)</f>
        <v>1.5633427783340699</v>
      </c>
      <c r="N204" s="4"/>
    </row>
    <row r="205">
      <c r="A205" s="187">
        <f>A101</f>
        <v>101</v>
      </c>
      <c r="B205" s="191">
        <f>INPUT!CU50</f>
        <v>2406.7982716579568</v>
      </c>
      <c r="C205" s="191">
        <f>INPUT!BB50</f>
        <v>-683.35517469674232</v>
      </c>
      <c r="D205" s="191">
        <f>INPUT!BC50</f>
        <v>-0.91059939832501868</v>
      </c>
      <c r="E205" s="191">
        <f>INPUT!BD50</f>
        <v>-1194.0301894616569</v>
      </c>
      <c r="F205" s="191">
        <f>INPUT!CJ50</f>
        <v>-436.06870446189714</v>
      </c>
      <c r="G205" s="191">
        <f>INPUT!CK50</f>
        <v>-314.94994178543857</v>
      </c>
      <c r="H205" s="191">
        <f>0.75*INPUT!CV50</f>
        <v>11.551097862036368</v>
      </c>
      <c r="I205" s="191">
        <f>0.75*INPUT!CW50</f>
        <v>-212.85135393178524</v>
      </c>
      <c r="J205" s="445">
        <f>(IF(C205&gt;=0,H205,I205)*2+SUM(C205:G205))/2</f>
        <v>-1527.5086588338152</v>
      </c>
      <c r="K205" s="184">
        <f>J205/COS(INPUT!P50)</f>
        <v>-1539.5205101613674</v>
      </c>
      <c r="L205" s="489" t="str">
        <f>IF(ABS(K205)&lt;=B205,"OK","NG")</f>
        <v>OK</v>
      </c>
      <c r="M205" s="391">
        <f>B205/ABS(K205)</f>
        <v>1.5633427783340699</v>
      </c>
      <c r="N205" s="4"/>
    </row>
    <row r="206">
      <c r="A206" s="187">
        <f>A102</f>
        <v>101</v>
      </c>
      <c r="B206" s="191">
        <f>INPUT!CU51</f>
        <v>2406.7982716579568</v>
      </c>
      <c r="C206" s="191">
        <f>INPUT!BB51</f>
        <v>-683.35517469674232</v>
      </c>
      <c r="D206" s="191">
        <f>INPUT!BC51</f>
        <v>-0.91059939832501868</v>
      </c>
      <c r="E206" s="191">
        <f>INPUT!BD51</f>
        <v>-1194.0301894616569</v>
      </c>
      <c r="F206" s="191">
        <f>INPUT!CJ51</f>
        <v>-436.06870446189714</v>
      </c>
      <c r="G206" s="191">
        <f>INPUT!CK51</f>
        <v>-314.94994178543857</v>
      </c>
      <c r="H206" s="191">
        <f>0.75*INPUT!CV51</f>
        <v>11.551097862036368</v>
      </c>
      <c r="I206" s="191">
        <f>0.75*INPUT!CW51</f>
        <v>-212.85135393178524</v>
      </c>
      <c r="J206" s="445">
        <f>(IF(C206&gt;=0,H206,I206)*2+SUM(C206:G206))/2</f>
        <v>-1527.5086588338152</v>
      </c>
      <c r="K206" s="184">
        <f>J206/COS(INPUT!P51)</f>
        <v>-1539.5205101613674</v>
      </c>
      <c r="L206" s="489" t="str">
        <f>IF(ABS(K206)&lt;=B206,"OK","NG")</f>
        <v>OK</v>
      </c>
      <c r="M206" s="391">
        <f>B206/ABS(K206)</f>
        <v>1.5633427783340699</v>
      </c>
      <c r="N206" s="4"/>
    </row>
    <row r="207">
      <c r="A207" s="187">
        <f>A103</f>
        <v>101</v>
      </c>
      <c r="B207" s="191">
        <f>INPUT!CU52</f>
        <v>2406.7982716579568</v>
      </c>
      <c r="C207" s="191">
        <f>INPUT!BB52</f>
        <v>-683.35517469674232</v>
      </c>
      <c r="D207" s="191">
        <f>INPUT!BC52</f>
        <v>-0.91059939832501868</v>
      </c>
      <c r="E207" s="191">
        <f>INPUT!BD52</f>
        <v>-1194.0301894616569</v>
      </c>
      <c r="F207" s="191">
        <f>INPUT!CJ52</f>
        <v>-436.06870446189714</v>
      </c>
      <c r="G207" s="191">
        <f>INPUT!CK52</f>
        <v>-314.94994178543857</v>
      </c>
      <c r="H207" s="191">
        <f>0.75*INPUT!CV52</f>
        <v>11.551097862036368</v>
      </c>
      <c r="I207" s="191">
        <f>0.75*INPUT!CW52</f>
        <v>-212.85135393178524</v>
      </c>
      <c r="J207" s="445">
        <f>(IF(C207&gt;=0,H207,I207)*2+SUM(C207:G207))/2</f>
        <v>-1527.5086588338152</v>
      </c>
      <c r="K207" s="184">
        <f>J207/COS(INPUT!P52)</f>
        <v>-1539.5205101613674</v>
      </c>
      <c r="L207" s="489" t="str">
        <f>IF(ABS(K207)&lt;=B207,"OK","NG")</f>
        <v>OK</v>
      </c>
      <c r="M207" s="391">
        <f>B207/ABS(K207)</f>
        <v>1.5633427783340699</v>
      </c>
      <c r="N207" s="4"/>
    </row>
    <row r="208">
      <c r="A208" s="187">
        <f>A104</f>
        <v>101</v>
      </c>
      <c r="B208" s="191">
        <f>INPUT!CU53</f>
        <v>2406.7982716579568</v>
      </c>
      <c r="C208" s="191">
        <f>INPUT!BB53</f>
        <v>-683.35517469674232</v>
      </c>
      <c r="D208" s="191">
        <f>INPUT!BC53</f>
        <v>-0.91059939832501868</v>
      </c>
      <c r="E208" s="191">
        <f>INPUT!BD53</f>
        <v>-1194.0301894616569</v>
      </c>
      <c r="F208" s="191">
        <f>INPUT!CJ53</f>
        <v>-436.06870446189714</v>
      </c>
      <c r="G208" s="191">
        <f>INPUT!CK53</f>
        <v>-314.94994178543857</v>
      </c>
      <c r="H208" s="191">
        <f>0.75*INPUT!CV53</f>
        <v>11.551097862036368</v>
      </c>
      <c r="I208" s="191">
        <f>0.75*INPUT!CW53</f>
        <v>-212.85135393178524</v>
      </c>
      <c r="J208" s="445">
        <f>(IF(C208&gt;=0,H208,I208)*2+SUM(C208:G208))/2</f>
        <v>-1527.5086588338152</v>
      </c>
      <c r="K208" s="184">
        <f>J208/COS(INPUT!P53)</f>
        <v>-1539.5205101613674</v>
      </c>
      <c r="L208" s="489" t="str">
        <f>IF(ABS(K208)&lt;=B208,"OK","NG")</f>
        <v>OK</v>
      </c>
      <c r="M208" s="391">
        <f>B208/ABS(K208)</f>
        <v>1.5633427783340699</v>
      </c>
      <c r="N208" s="4"/>
    </row>
    <row r="209">
      <c r="A209" s="187">
        <f>A105</f>
        <v>101</v>
      </c>
      <c r="B209" s="191">
        <f>INPUT!CU54</f>
        <v>2406.7982716579568</v>
      </c>
      <c r="C209" s="191">
        <f>INPUT!BB54</f>
        <v>-683.35517469674232</v>
      </c>
      <c r="D209" s="191">
        <f>INPUT!BC54</f>
        <v>-0.91059939832501868</v>
      </c>
      <c r="E209" s="191">
        <f>INPUT!BD54</f>
        <v>-1194.0301894616569</v>
      </c>
      <c r="F209" s="191">
        <f>INPUT!CJ54</f>
        <v>-436.06870446189714</v>
      </c>
      <c r="G209" s="191">
        <f>INPUT!CK54</f>
        <v>-314.94994178543857</v>
      </c>
      <c r="H209" s="191">
        <f>0.75*INPUT!CV54</f>
        <v>11.551097862036368</v>
      </c>
      <c r="I209" s="191">
        <f>0.75*INPUT!CW54</f>
        <v>-212.85135393178524</v>
      </c>
      <c r="J209" s="445">
        <f>(IF(C209&gt;=0,H209,I209)*2+SUM(C209:G209))/2</f>
        <v>-1527.5086588338152</v>
      </c>
      <c r="K209" s="184">
        <f>J209/COS(INPUT!P54)</f>
        <v>-1539.5205101613674</v>
      </c>
      <c r="L209" s="489" t="str">
        <f>IF(ABS(K209)&lt;=B209,"OK","NG")</f>
        <v>OK</v>
      </c>
      <c r="M209" s="391">
        <f>B209/ABS(K209)</f>
        <v>1.5633427783340699</v>
      </c>
      <c r="N209" s="4"/>
    </row>
    <row r="210">
      <c r="A210" s="187">
        <f>A106</f>
        <v>101</v>
      </c>
      <c r="B210" s="191">
        <f>INPUT!CU55</f>
        <v>2406.7982716579568</v>
      </c>
      <c r="C210" s="191">
        <f>INPUT!BB55</f>
        <v>-683.35517469674232</v>
      </c>
      <c r="D210" s="191">
        <f>INPUT!BC55</f>
        <v>-0.91059939832501868</v>
      </c>
      <c r="E210" s="191">
        <f>INPUT!BD55</f>
        <v>-1194.0301894616569</v>
      </c>
      <c r="F210" s="191">
        <f>INPUT!CJ55</f>
        <v>-436.06870446189714</v>
      </c>
      <c r="G210" s="191">
        <f>INPUT!CK55</f>
        <v>-314.94994178543857</v>
      </c>
      <c r="H210" s="191">
        <f>0.75*INPUT!CV55</f>
        <v>11.551097862036368</v>
      </c>
      <c r="I210" s="191">
        <f>0.75*INPUT!CW55</f>
        <v>-212.85135393178524</v>
      </c>
      <c r="J210" s="445">
        <f>(IF(C210&gt;=0,H210,I210)*2+SUM(C210:G210))/2</f>
        <v>-1527.5086588338152</v>
      </c>
      <c r="K210" s="184">
        <f>J210/COS(INPUT!P55)</f>
        <v>-1539.5205101613674</v>
      </c>
      <c r="L210" s="489" t="str">
        <f>IF(ABS(K210)&lt;=B210,"OK","NG")</f>
        <v>OK</v>
      </c>
      <c r="M210" s="391">
        <f>B210/ABS(K210)</f>
        <v>1.5633427783340699</v>
      </c>
      <c r="N210" s="4"/>
    </row>
    <row r="211">
      <c r="A211" s="187">
        <f>A107</f>
        <v>101</v>
      </c>
      <c r="B211" s="191">
        <f>INPUT!CU56</f>
        <v>2406.7982716579568</v>
      </c>
      <c r="C211" s="191">
        <f>INPUT!BB56</f>
        <v>-683.35517469674232</v>
      </c>
      <c r="D211" s="191">
        <f>INPUT!BC56</f>
        <v>-0.91059939832501868</v>
      </c>
      <c r="E211" s="191">
        <f>INPUT!BD56</f>
        <v>-1194.0301894616569</v>
      </c>
      <c r="F211" s="191">
        <f>INPUT!CJ56</f>
        <v>-436.06870446189714</v>
      </c>
      <c r="G211" s="191">
        <f>INPUT!CK56</f>
        <v>-314.94994178543857</v>
      </c>
      <c r="H211" s="191">
        <f>0.75*INPUT!CV56</f>
        <v>11.551097862036368</v>
      </c>
      <c r="I211" s="191">
        <f>0.75*INPUT!CW56</f>
        <v>-212.85135393178524</v>
      </c>
      <c r="J211" s="445">
        <f>(IF(C211&gt;=0,H211,I211)*2+SUM(C211:G211))/2</f>
        <v>-1527.5086588338152</v>
      </c>
      <c r="K211" s="184">
        <f>J211/COS(INPUT!P56)</f>
        <v>-1539.5205101613674</v>
      </c>
      <c r="L211" s="489" t="str">
        <f>IF(ABS(K211)&lt;=B211,"OK","NG")</f>
        <v>OK</v>
      </c>
      <c r="M211" s="391">
        <f>B211/ABS(K211)</f>
        <v>1.5633427783340699</v>
      </c>
      <c r="N211" s="4"/>
    </row>
    <row r="212">
      <c r="A212" s="187">
        <f>A108</f>
        <v>101</v>
      </c>
      <c r="B212" s="191">
        <f>INPUT!CU57</f>
        <v>2406.7982716579568</v>
      </c>
      <c r="C212" s="191">
        <f>INPUT!BB57</f>
        <v>-683.35517469674232</v>
      </c>
      <c r="D212" s="191">
        <f>INPUT!BC57</f>
        <v>-0.91059939832501868</v>
      </c>
      <c r="E212" s="191">
        <f>INPUT!BD57</f>
        <v>-1194.0301894616569</v>
      </c>
      <c r="F212" s="191">
        <f>INPUT!CJ57</f>
        <v>-436.06870446189714</v>
      </c>
      <c r="G212" s="191">
        <f>INPUT!CK57</f>
        <v>-314.94994178543857</v>
      </c>
      <c r="H212" s="191">
        <f>0.75*INPUT!CV57</f>
        <v>11.551097862036368</v>
      </c>
      <c r="I212" s="191">
        <f>0.75*INPUT!CW57</f>
        <v>-212.85135393178524</v>
      </c>
      <c r="J212" s="445">
        <f>(IF(C212&gt;=0,H212,I212)*2+SUM(C212:G212))/2</f>
        <v>-1527.5086588338152</v>
      </c>
      <c r="K212" s="184">
        <f>J212/COS(INPUT!P57)</f>
        <v>-1539.5205101613674</v>
      </c>
      <c r="L212" s="489" t="str">
        <f>IF(ABS(K212)&lt;=B212,"OK","NG")</f>
        <v>OK</v>
      </c>
      <c r="M212" s="391">
        <f>B212/ABS(K212)</f>
        <v>1.5633427783340699</v>
      </c>
      <c r="N212" s="4"/>
    </row>
    <row r="213">
      <c r="A213" s="187">
        <f>A109</f>
        <v>101</v>
      </c>
      <c r="B213" s="191">
        <f>INPUT!CU58</f>
        <v>2406.7982716579568</v>
      </c>
      <c r="C213" s="191">
        <f>INPUT!BB58</f>
        <v>-683.35517469674232</v>
      </c>
      <c r="D213" s="191">
        <f>INPUT!BC58</f>
        <v>-0.91059939832501868</v>
      </c>
      <c r="E213" s="191">
        <f>INPUT!BD58</f>
        <v>-1194.0301894616569</v>
      </c>
      <c r="F213" s="191">
        <f>INPUT!CJ58</f>
        <v>-436.06870446189714</v>
      </c>
      <c r="G213" s="191">
        <f>INPUT!CK58</f>
        <v>-314.94994178543857</v>
      </c>
      <c r="H213" s="191">
        <f>0.75*INPUT!CV58</f>
        <v>11.551097862036368</v>
      </c>
      <c r="I213" s="191">
        <f>0.75*INPUT!CW58</f>
        <v>-212.85135393178524</v>
      </c>
      <c r="J213" s="445">
        <f>(IF(C213&gt;=0,H213,I213)*2+SUM(C213:G213))/2</f>
        <v>-1527.5086588338152</v>
      </c>
      <c r="K213" s="184">
        <f>J213/COS(INPUT!P58)</f>
        <v>-1539.5205101613674</v>
      </c>
      <c r="L213" s="489" t="str">
        <f>IF(ABS(K213)&lt;=B213,"OK","NG")</f>
        <v>OK</v>
      </c>
      <c r="M213" s="391">
        <f>B213/ABS(K213)</f>
        <v>1.5633427783340699</v>
      </c>
      <c r="N213" s="4"/>
    </row>
    <row r="214">
      <c r="A214" s="187">
        <f>A110</f>
        <v>101</v>
      </c>
      <c r="B214" s="191">
        <f>INPUT!CU59</f>
        <v>2406.7982716579568</v>
      </c>
      <c r="C214" s="191">
        <f>INPUT!BB59</f>
        <v>-683.35517469674232</v>
      </c>
      <c r="D214" s="191">
        <f>INPUT!BC59</f>
        <v>-0.91059939832501868</v>
      </c>
      <c r="E214" s="191">
        <f>INPUT!BD59</f>
        <v>-1194.0301894616569</v>
      </c>
      <c r="F214" s="191">
        <f>INPUT!CJ59</f>
        <v>-436.06870446189714</v>
      </c>
      <c r="G214" s="191">
        <f>INPUT!CK59</f>
        <v>-314.94994178543857</v>
      </c>
      <c r="H214" s="191">
        <f>0.75*INPUT!CV59</f>
        <v>11.551097862036368</v>
      </c>
      <c r="I214" s="191">
        <f>0.75*INPUT!CW59</f>
        <v>-212.85135393178524</v>
      </c>
      <c r="J214" s="445">
        <f>(IF(C214&gt;=0,H214,I214)*2+SUM(C214:G214))/2</f>
        <v>-1527.5086588338152</v>
      </c>
      <c r="K214" s="184">
        <f>J214/COS(INPUT!P59)</f>
        <v>-1539.5205101613674</v>
      </c>
      <c r="L214" s="489" t="str">
        <f>IF(ABS(K214)&lt;=B214,"OK","NG")</f>
        <v>OK</v>
      </c>
      <c r="M214" s="391">
        <f>B214/ABS(K214)</f>
        <v>1.5633427783340699</v>
      </c>
      <c r="N214" s="4"/>
    </row>
    <row r="215">
      <c r="A215" s="187">
        <f>A111</f>
        <v>101</v>
      </c>
      <c r="B215" s="191">
        <f>INPUT!CU60</f>
        <v>2406.7982716579568</v>
      </c>
      <c r="C215" s="191">
        <f>INPUT!BB60</f>
        <v>-683.35517469674232</v>
      </c>
      <c r="D215" s="191">
        <f>INPUT!BC60</f>
        <v>-0.91059939832501868</v>
      </c>
      <c r="E215" s="191">
        <f>INPUT!BD60</f>
        <v>-1194.0301894616569</v>
      </c>
      <c r="F215" s="191">
        <f>INPUT!CJ60</f>
        <v>-436.06870446189714</v>
      </c>
      <c r="G215" s="191">
        <f>INPUT!CK60</f>
        <v>-314.94994178543857</v>
      </c>
      <c r="H215" s="191">
        <f>0.75*INPUT!CV60</f>
        <v>11.551097862036368</v>
      </c>
      <c r="I215" s="191">
        <f>0.75*INPUT!CW60</f>
        <v>-212.85135393178524</v>
      </c>
      <c r="J215" s="445">
        <f>(IF(C215&gt;=0,H215,I215)*2+SUM(C215:G215))/2</f>
        <v>-1527.5086588338152</v>
      </c>
      <c r="K215" s="184">
        <f>J215/COS(INPUT!P60)</f>
        <v>-1539.5205101613674</v>
      </c>
      <c r="L215" s="489" t="str">
        <f>IF(ABS(K215)&lt;=B215,"OK","NG")</f>
        <v>OK</v>
      </c>
      <c r="M215" s="391">
        <f>B215/ABS(K215)</f>
        <v>1.5633427783340699</v>
      </c>
      <c r="N215" s="4"/>
    </row>
    <row r="216">
      <c r="A216" s="187">
        <f>A112</f>
        <v>101</v>
      </c>
      <c r="B216" s="191">
        <f>INPUT!CU61</f>
        <v>2406.7982716579568</v>
      </c>
      <c r="C216" s="191">
        <f>INPUT!BB61</f>
        <v>-683.35517469674232</v>
      </c>
      <c r="D216" s="191">
        <f>INPUT!BC61</f>
        <v>-0.91059939832501868</v>
      </c>
      <c r="E216" s="191">
        <f>INPUT!BD61</f>
        <v>-1194.0301894616569</v>
      </c>
      <c r="F216" s="191">
        <f>INPUT!CJ61</f>
        <v>-436.06870446189714</v>
      </c>
      <c r="G216" s="191">
        <f>INPUT!CK61</f>
        <v>-314.94994178543857</v>
      </c>
      <c r="H216" s="191">
        <f>0.75*INPUT!CV61</f>
        <v>11.551097862036368</v>
      </c>
      <c r="I216" s="191">
        <f>0.75*INPUT!CW61</f>
        <v>-212.85135393178524</v>
      </c>
      <c r="J216" s="445">
        <f>(IF(C216&gt;=0,H216,I216)*2+SUM(C216:G216))/2</f>
        <v>-1527.5086588338152</v>
      </c>
      <c r="K216" s="184">
        <f>J216/COS(INPUT!P61)</f>
        <v>-1539.5205101613674</v>
      </c>
      <c r="L216" s="489" t="str">
        <f>IF(ABS(K216)&lt;=B216,"OK","NG")</f>
        <v>OK</v>
      </c>
      <c r="M216" s="391">
        <f>B216/ABS(K216)</f>
        <v>1.5633427783340699</v>
      </c>
      <c r="N216" s="4"/>
    </row>
    <row r="217">
      <c r="A217" s="187">
        <f>A113</f>
        <v>101</v>
      </c>
      <c r="B217" s="191">
        <f>INPUT!CU62</f>
        <v>2406.7982716579568</v>
      </c>
      <c r="C217" s="191">
        <f>INPUT!BB62</f>
        <v>-683.35517469674232</v>
      </c>
      <c r="D217" s="191">
        <f>INPUT!BC62</f>
        <v>-0.91059939832501868</v>
      </c>
      <c r="E217" s="191">
        <f>INPUT!BD62</f>
        <v>-1194.0301894616569</v>
      </c>
      <c r="F217" s="191">
        <f>INPUT!CJ62</f>
        <v>-436.06870446189714</v>
      </c>
      <c r="G217" s="191">
        <f>INPUT!CK62</f>
        <v>-314.94994178543857</v>
      </c>
      <c r="H217" s="191">
        <f>0.75*INPUT!CV62</f>
        <v>11.551097862036368</v>
      </c>
      <c r="I217" s="191">
        <f>0.75*INPUT!CW62</f>
        <v>-212.85135393178524</v>
      </c>
      <c r="J217" s="445">
        <f>(IF(C217&gt;=0,H217,I217)*2+SUM(C217:G217))/2</f>
        <v>-1527.5086588338152</v>
      </c>
      <c r="K217" s="184">
        <f>J217/COS(INPUT!P62)</f>
        <v>-1539.5205101613674</v>
      </c>
      <c r="L217" s="489" t="str">
        <f>IF(ABS(K217)&lt;=B217,"OK","NG")</f>
        <v>OK</v>
      </c>
      <c r="M217" s="391">
        <f>B217/ABS(K217)</f>
        <v>1.5633427783340699</v>
      </c>
      <c r="N217" s="4"/>
    </row>
    <row r="218">
      <c r="A218" s="187">
        <f>A114</f>
        <v>101</v>
      </c>
      <c r="B218" s="191">
        <f>INPUT!CU63</f>
        <v>2406.7982716579568</v>
      </c>
      <c r="C218" s="191">
        <f>INPUT!BB63</f>
        <v>-683.35517469674232</v>
      </c>
      <c r="D218" s="191">
        <f>INPUT!BC63</f>
        <v>-0.91059939832501868</v>
      </c>
      <c r="E218" s="191">
        <f>INPUT!BD63</f>
        <v>-1194.0301894616569</v>
      </c>
      <c r="F218" s="191">
        <f>INPUT!CJ63</f>
        <v>-436.06870446189714</v>
      </c>
      <c r="G218" s="191">
        <f>INPUT!CK63</f>
        <v>-314.94994178543857</v>
      </c>
      <c r="H218" s="191">
        <f>0.75*INPUT!CV63</f>
        <v>11.551097862036368</v>
      </c>
      <c r="I218" s="191">
        <f>0.75*INPUT!CW63</f>
        <v>-212.85135393178524</v>
      </c>
      <c r="J218" s="445">
        <f>(IF(C218&gt;=0,H218,I218)*2+SUM(C218:G218))/2</f>
        <v>-1527.5086588338152</v>
      </c>
      <c r="K218" s="184">
        <f>J218/COS(INPUT!P63)</f>
        <v>-1539.5205101613674</v>
      </c>
      <c r="L218" s="489" t="str">
        <f>IF(ABS(K218)&lt;=B218,"OK","NG")</f>
        <v>OK</v>
      </c>
      <c r="M218" s="391">
        <f>B218/ABS(K218)</f>
        <v>1.5633427783340699</v>
      </c>
      <c r="N218" s="4"/>
    </row>
    <row r="219">
      <c r="A219" s="187">
        <f>A115</f>
        <v>101</v>
      </c>
      <c r="B219" s="191">
        <f>INPUT!CU64</f>
        <v>2406.7982716579568</v>
      </c>
      <c r="C219" s="191">
        <f>INPUT!BB64</f>
        <v>-683.35517469674232</v>
      </c>
      <c r="D219" s="191">
        <f>INPUT!BC64</f>
        <v>-0.91059939832501868</v>
      </c>
      <c r="E219" s="191">
        <f>INPUT!BD64</f>
        <v>-1194.0301894616569</v>
      </c>
      <c r="F219" s="191">
        <f>INPUT!CJ64</f>
        <v>-436.06870446189714</v>
      </c>
      <c r="G219" s="191">
        <f>INPUT!CK64</f>
        <v>-314.94994178543857</v>
      </c>
      <c r="H219" s="191">
        <f>0.75*INPUT!CV64</f>
        <v>11.551097862036368</v>
      </c>
      <c r="I219" s="191">
        <f>0.75*INPUT!CW64</f>
        <v>-212.85135393178524</v>
      </c>
      <c r="J219" s="445">
        <f>(IF(C219&gt;=0,H219,I219)*2+SUM(C219:G219))/2</f>
        <v>-1527.5086588338152</v>
      </c>
      <c r="K219" s="184">
        <f>J219/COS(INPUT!P64)</f>
        <v>-1539.5205101613674</v>
      </c>
      <c r="L219" s="489" t="str">
        <f>IF(ABS(K219)&lt;=B219,"OK","NG")</f>
        <v>OK</v>
      </c>
      <c r="M219" s="391">
        <f>B219/ABS(K219)</f>
        <v>1.5633427783340699</v>
      </c>
      <c r="N219" s="4"/>
    </row>
    <row r="220">
      <c r="A220" s="187">
        <f>A116</f>
        <v>101</v>
      </c>
      <c r="B220" s="191">
        <f>INPUT!CU65</f>
        <v>2406.7982716579568</v>
      </c>
      <c r="C220" s="191">
        <f>INPUT!BB65</f>
        <v>-683.35517469674232</v>
      </c>
      <c r="D220" s="191">
        <f>INPUT!BC65</f>
        <v>-0.91059939832501868</v>
      </c>
      <c r="E220" s="191">
        <f>INPUT!BD65</f>
        <v>-1194.0301894616569</v>
      </c>
      <c r="F220" s="191">
        <f>INPUT!CJ65</f>
        <v>-436.06870446189714</v>
      </c>
      <c r="G220" s="191">
        <f>INPUT!CK65</f>
        <v>-314.94994178543857</v>
      </c>
      <c r="H220" s="191">
        <f>0.75*INPUT!CV65</f>
        <v>11.551097862036368</v>
      </c>
      <c r="I220" s="191">
        <f>0.75*INPUT!CW65</f>
        <v>-212.85135393178524</v>
      </c>
      <c r="J220" s="445">
        <f>(IF(C220&gt;=0,H220,I220)*2+SUM(C220:G220))/2</f>
        <v>-1527.5086588338152</v>
      </c>
      <c r="K220" s="184">
        <f>J220/COS(INPUT!P65)</f>
        <v>-1539.5205101613674</v>
      </c>
      <c r="L220" s="489" t="str">
        <f>IF(ABS(K220)&lt;=B220,"OK","NG")</f>
        <v>OK</v>
      </c>
      <c r="M220" s="391">
        <f>B220/ABS(K220)</f>
        <v>1.5633427783340699</v>
      </c>
      <c r="N220" s="4"/>
    </row>
    <row r="221">
      <c r="A221" s="187">
        <f>A117</f>
        <v>101</v>
      </c>
      <c r="B221" s="191">
        <f>INPUT!CU66</f>
        <v>2406.7982716579568</v>
      </c>
      <c r="C221" s="191">
        <f>INPUT!BB66</f>
        <v>-683.35517469674232</v>
      </c>
      <c r="D221" s="191">
        <f>INPUT!BC66</f>
        <v>-0.91059939832501868</v>
      </c>
      <c r="E221" s="191">
        <f>INPUT!BD66</f>
        <v>-1194.0301894616569</v>
      </c>
      <c r="F221" s="191">
        <f>INPUT!CJ66</f>
        <v>-436.06870446189714</v>
      </c>
      <c r="G221" s="191">
        <f>INPUT!CK66</f>
        <v>-314.94994178543857</v>
      </c>
      <c r="H221" s="191">
        <f>0.75*INPUT!CV66</f>
        <v>11.551097862036368</v>
      </c>
      <c r="I221" s="191">
        <f>0.75*INPUT!CW66</f>
        <v>-212.85135393178524</v>
      </c>
      <c r="J221" s="445">
        <f>(IF(C221&gt;=0,H221,I221)*2+SUM(C221:G221))/2</f>
        <v>-1527.5086588338152</v>
      </c>
      <c r="K221" s="184">
        <f>J221/COS(INPUT!P66)</f>
        <v>-1539.5205101613674</v>
      </c>
      <c r="L221" s="489" t="str">
        <f>IF(ABS(K221)&lt;=B221,"OK","NG")</f>
        <v>OK</v>
      </c>
      <c r="M221" s="391">
        <f>B221/ABS(K221)</f>
        <v>1.5633427783340699</v>
      </c>
      <c r="N221" s="4"/>
    </row>
    <row r="222">
      <c r="A222" s="187">
        <f>A118</f>
        <v>101</v>
      </c>
      <c r="B222" s="191">
        <f>INPUT!CU67</f>
        <v>2406.7982716579568</v>
      </c>
      <c r="C222" s="191">
        <f>INPUT!BB67</f>
        <v>-683.35517469674232</v>
      </c>
      <c r="D222" s="191">
        <f>INPUT!BC67</f>
        <v>-0.91059939832501868</v>
      </c>
      <c r="E222" s="191">
        <f>INPUT!BD67</f>
        <v>-1194.0301894616569</v>
      </c>
      <c r="F222" s="191">
        <f>INPUT!CJ67</f>
        <v>-436.06870446189714</v>
      </c>
      <c r="G222" s="191">
        <f>INPUT!CK67</f>
        <v>-314.94994178543857</v>
      </c>
      <c r="H222" s="191">
        <f>0.75*INPUT!CV67</f>
        <v>11.551097862036368</v>
      </c>
      <c r="I222" s="191">
        <f>0.75*INPUT!CW67</f>
        <v>-212.85135393178524</v>
      </c>
      <c r="J222" s="445">
        <f>(IF(C222&gt;=0,H222,I222)*2+SUM(C222:G222))/2</f>
        <v>-1527.5086588338152</v>
      </c>
      <c r="K222" s="184">
        <f>J222/COS(INPUT!P67)</f>
        <v>-1539.5205101613674</v>
      </c>
      <c r="L222" s="489" t="str">
        <f>IF(ABS(K222)&lt;=B222,"OK","NG")</f>
        <v>OK</v>
      </c>
      <c r="M222" s="391">
        <f>B222/ABS(K222)</f>
        <v>1.5633427783340699</v>
      </c>
      <c r="N222" s="4"/>
    </row>
    <row r="223">
      <c r="A223" s="187">
        <f>A119</f>
        <v>101</v>
      </c>
      <c r="B223" s="191">
        <f>INPUT!CU68</f>
        <v>2406.7982716579568</v>
      </c>
      <c r="C223" s="191">
        <f>INPUT!BB68</f>
        <v>-683.35517469674232</v>
      </c>
      <c r="D223" s="191">
        <f>INPUT!BC68</f>
        <v>-0.91059939832501868</v>
      </c>
      <c r="E223" s="191">
        <f>INPUT!BD68</f>
        <v>-1194.0301894616569</v>
      </c>
      <c r="F223" s="191">
        <f>INPUT!CJ68</f>
        <v>-436.06870446189714</v>
      </c>
      <c r="G223" s="191">
        <f>INPUT!CK68</f>
        <v>-314.94994178543857</v>
      </c>
      <c r="H223" s="191">
        <f>0.75*INPUT!CV68</f>
        <v>11.551097862036368</v>
      </c>
      <c r="I223" s="191">
        <f>0.75*INPUT!CW68</f>
        <v>-212.85135393178524</v>
      </c>
      <c r="J223" s="445">
        <f>(IF(C223&gt;=0,H223,I223)*2+SUM(C223:G223))/2</f>
        <v>-1527.5086588338152</v>
      </c>
      <c r="K223" s="184">
        <f>J223/COS(INPUT!P68)</f>
        <v>-1539.5205101613674</v>
      </c>
      <c r="L223" s="489" t="str">
        <f>IF(ABS(K223)&lt;=B223,"OK","NG")</f>
        <v>OK</v>
      </c>
      <c r="M223" s="391">
        <f>B223/ABS(K223)</f>
        <v>1.5633427783340699</v>
      </c>
      <c r="N223" s="4"/>
    </row>
    <row r="224">
      <c r="A224" s="187">
        <f>A120</f>
        <v>101</v>
      </c>
      <c r="B224" s="191">
        <f>INPUT!CU69</f>
        <v>2406.7982716579568</v>
      </c>
      <c r="C224" s="191">
        <f>INPUT!BB69</f>
        <v>-683.35517469674232</v>
      </c>
      <c r="D224" s="191">
        <f>INPUT!BC69</f>
        <v>-0.91059939832501868</v>
      </c>
      <c r="E224" s="191">
        <f>INPUT!BD69</f>
        <v>-1194.0301894616569</v>
      </c>
      <c r="F224" s="191">
        <f>INPUT!CJ69</f>
        <v>-436.06870446189714</v>
      </c>
      <c r="G224" s="191">
        <f>INPUT!CK69</f>
        <v>-314.94994178543857</v>
      </c>
      <c r="H224" s="191">
        <f>0.75*INPUT!CV69</f>
        <v>11.551097862036368</v>
      </c>
      <c r="I224" s="191">
        <f>0.75*INPUT!CW69</f>
        <v>-212.85135393178524</v>
      </c>
      <c r="J224" s="445">
        <f>(IF(C224&gt;=0,H224,I224)*2+SUM(C224:G224))/2</f>
        <v>-1527.5086588338152</v>
      </c>
      <c r="K224" s="184">
        <f>J224/COS(INPUT!P69)</f>
        <v>-1539.5205101613674</v>
      </c>
      <c r="L224" s="489" t="str">
        <f>IF(ABS(K224)&lt;=B224,"OK","NG")</f>
        <v>OK</v>
      </c>
      <c r="M224" s="391">
        <f>B224/ABS(K224)</f>
        <v>1.5633427783340699</v>
      </c>
      <c r="N224" s="4"/>
    </row>
    <row r="225">
      <c r="A225" s="187">
        <f>A121</f>
        <v>101</v>
      </c>
      <c r="B225" s="191">
        <f>INPUT!CU70</f>
        <v>2406.7982716579568</v>
      </c>
      <c r="C225" s="191">
        <f>INPUT!BB70</f>
        <v>-683.35517469674232</v>
      </c>
      <c r="D225" s="191">
        <f>INPUT!BC70</f>
        <v>-0.91059939832501868</v>
      </c>
      <c r="E225" s="191">
        <f>INPUT!BD70</f>
        <v>-1194.0301894616569</v>
      </c>
      <c r="F225" s="191">
        <f>INPUT!CJ70</f>
        <v>-436.06870446189714</v>
      </c>
      <c r="G225" s="191">
        <f>INPUT!CK70</f>
        <v>-314.94994178543857</v>
      </c>
      <c r="H225" s="191">
        <f>0.75*INPUT!CV70</f>
        <v>11.551097862036368</v>
      </c>
      <c r="I225" s="191">
        <f>0.75*INPUT!CW70</f>
        <v>-212.85135393178524</v>
      </c>
      <c r="J225" s="445">
        <f>(IF(C225&gt;=0,H225,I225)*2+SUM(C225:G225))/2</f>
        <v>-1527.5086588338152</v>
      </c>
      <c r="K225" s="184">
        <f>J225/COS(INPUT!P70)</f>
        <v>-1539.5205101613674</v>
      </c>
      <c r="L225" s="489" t="str">
        <f>IF(ABS(K225)&lt;=B225,"OK","NG")</f>
        <v>OK</v>
      </c>
      <c r="M225" s="391">
        <f>B225/ABS(K225)</f>
        <v>1.5633427783340699</v>
      </c>
      <c r="N225" s="4"/>
    </row>
    <row r="226">
      <c r="A226" s="187">
        <f>A122</f>
        <v>101</v>
      </c>
      <c r="B226" s="191">
        <f>INPUT!CU71</f>
        <v>2406.7982716579568</v>
      </c>
      <c r="C226" s="191">
        <f>INPUT!BB71</f>
        <v>-683.35517469674232</v>
      </c>
      <c r="D226" s="191">
        <f>INPUT!BC71</f>
        <v>-0.91059939832501868</v>
      </c>
      <c r="E226" s="191">
        <f>INPUT!BD71</f>
        <v>-1194.0301894616569</v>
      </c>
      <c r="F226" s="191">
        <f>INPUT!CJ71</f>
        <v>-436.06870446189714</v>
      </c>
      <c r="G226" s="191">
        <f>INPUT!CK71</f>
        <v>-314.94994178543857</v>
      </c>
      <c r="H226" s="191">
        <f>0.75*INPUT!CV71</f>
        <v>11.551097862036368</v>
      </c>
      <c r="I226" s="191">
        <f>0.75*INPUT!CW71</f>
        <v>-212.85135393178524</v>
      </c>
      <c r="J226" s="445">
        <f>(IF(C226&gt;=0,H226,I226)*2+SUM(C226:G226))/2</f>
        <v>-1527.5086588338152</v>
      </c>
      <c r="K226" s="184">
        <f>J226/COS(INPUT!P71)</f>
        <v>-1539.5205101613674</v>
      </c>
      <c r="L226" s="489" t="str">
        <f>IF(ABS(K226)&lt;=B226,"OK","NG")</f>
        <v>OK</v>
      </c>
      <c r="M226" s="391">
        <f>B226/ABS(K226)</f>
        <v>1.5633427783340699</v>
      </c>
      <c r="N226" s="4"/>
    </row>
    <row r="227">
      <c r="A227" s="187">
        <f>A123</f>
        <v>101</v>
      </c>
      <c r="B227" s="191">
        <f>INPUT!CU72</f>
        <v>2406.7982716579568</v>
      </c>
      <c r="C227" s="191">
        <f>INPUT!BB72</f>
        <v>-683.35517469674232</v>
      </c>
      <c r="D227" s="191">
        <f>INPUT!BC72</f>
        <v>-0.91059939832501868</v>
      </c>
      <c r="E227" s="191">
        <f>INPUT!BD72</f>
        <v>-1194.0301894616569</v>
      </c>
      <c r="F227" s="191">
        <f>INPUT!CJ72</f>
        <v>-436.06870446189714</v>
      </c>
      <c r="G227" s="191">
        <f>INPUT!CK72</f>
        <v>-314.94994178543857</v>
      </c>
      <c r="H227" s="191">
        <f>0.75*INPUT!CV72</f>
        <v>11.551097862036368</v>
      </c>
      <c r="I227" s="191">
        <f>0.75*INPUT!CW72</f>
        <v>-212.85135393178524</v>
      </c>
      <c r="J227" s="445">
        <f>(IF(C227&gt;=0,H227,I227)*2+SUM(C227:G227))/2</f>
        <v>-1527.5086588338152</v>
      </c>
      <c r="K227" s="184">
        <f>J227/COS(INPUT!P72)</f>
        <v>-1539.5205101613674</v>
      </c>
      <c r="L227" s="489" t="str">
        <f>IF(ABS(K227)&lt;=B227,"OK","NG")</f>
        <v>OK</v>
      </c>
      <c r="M227" s="391">
        <f>B227/ABS(K227)</f>
        <v>1.5633427783340699</v>
      </c>
      <c r="N227" s="4"/>
    </row>
    <row r="228">
      <c r="A228" s="187">
        <f>A124</f>
        <v>101</v>
      </c>
      <c r="B228" s="191">
        <f>INPUT!CU73</f>
        <v>2406.7982716579568</v>
      </c>
      <c r="C228" s="191">
        <f>INPUT!BB73</f>
        <v>-683.35517469674232</v>
      </c>
      <c r="D228" s="191">
        <f>INPUT!BC73</f>
        <v>-0.91059939832501868</v>
      </c>
      <c r="E228" s="191">
        <f>INPUT!BD73</f>
        <v>-1194.0301894616569</v>
      </c>
      <c r="F228" s="191">
        <f>INPUT!CJ73</f>
        <v>-436.06870446189714</v>
      </c>
      <c r="G228" s="191">
        <f>INPUT!CK73</f>
        <v>-314.94994178543857</v>
      </c>
      <c r="H228" s="191">
        <f>0.75*INPUT!CV73</f>
        <v>11.551097862036368</v>
      </c>
      <c r="I228" s="191">
        <f>0.75*INPUT!CW73</f>
        <v>-212.85135393178524</v>
      </c>
      <c r="J228" s="445">
        <f>(IF(C228&gt;=0,H228,I228)*2+SUM(C228:G228))/2</f>
        <v>-1527.5086588338152</v>
      </c>
      <c r="K228" s="184">
        <f>J228/COS(INPUT!P73)</f>
        <v>-1539.5205101613674</v>
      </c>
      <c r="L228" s="489" t="str">
        <f>IF(ABS(K228)&lt;=B228,"OK","NG")</f>
        <v>OK</v>
      </c>
      <c r="M228" s="391">
        <f>B228/ABS(K228)</f>
        <v>1.5633427783340699</v>
      </c>
      <c r="N228" s="4"/>
    </row>
    <row r="229">
      <c r="A229" s="187">
        <f>A125</f>
        <v>101</v>
      </c>
      <c r="B229" s="191">
        <f>INPUT!CU74</f>
        <v>2406.7982716579568</v>
      </c>
      <c r="C229" s="191">
        <f>INPUT!BB74</f>
        <v>-683.35517469674232</v>
      </c>
      <c r="D229" s="191">
        <f>INPUT!BC74</f>
        <v>-0.91059939832501868</v>
      </c>
      <c r="E229" s="191">
        <f>INPUT!BD74</f>
        <v>-1194.0301894616569</v>
      </c>
      <c r="F229" s="191">
        <f>INPUT!CJ74</f>
        <v>-436.06870446189714</v>
      </c>
      <c r="G229" s="191">
        <f>INPUT!CK74</f>
        <v>-314.94994178543857</v>
      </c>
      <c r="H229" s="191">
        <f>0.75*INPUT!CV74</f>
        <v>11.551097862036368</v>
      </c>
      <c r="I229" s="191">
        <f>0.75*INPUT!CW74</f>
        <v>-212.85135393178524</v>
      </c>
      <c r="J229" s="445">
        <f>(IF(C229&gt;=0,H229,I229)*2+SUM(C229:G229))/2</f>
        <v>-1527.5086588338152</v>
      </c>
      <c r="K229" s="184">
        <f>J229/COS(INPUT!P74)</f>
        <v>-1539.5205101613674</v>
      </c>
      <c r="L229" s="489" t="str">
        <f>IF(ABS(K229)&lt;=B229,"OK","NG")</f>
        <v>OK</v>
      </c>
      <c r="M229" s="391">
        <f>B229/ABS(K229)</f>
        <v>1.5633427783340699</v>
      </c>
      <c r="N229" s="4"/>
    </row>
    <row r="230">
      <c r="A230" s="187">
        <f>A126</f>
        <v>101</v>
      </c>
      <c r="B230" s="191">
        <f>INPUT!CU75</f>
        <v>2406.7982716579568</v>
      </c>
      <c r="C230" s="191">
        <f>INPUT!BB75</f>
        <v>-683.35517469674232</v>
      </c>
      <c r="D230" s="191">
        <f>INPUT!BC75</f>
        <v>-0.91059939832501868</v>
      </c>
      <c r="E230" s="191">
        <f>INPUT!BD75</f>
        <v>-1194.0301894616569</v>
      </c>
      <c r="F230" s="191">
        <f>INPUT!CJ75</f>
        <v>-436.06870446189714</v>
      </c>
      <c r="G230" s="191">
        <f>INPUT!CK75</f>
        <v>-314.94994178543857</v>
      </c>
      <c r="H230" s="191">
        <f>0.75*INPUT!CV75</f>
        <v>11.551097862036368</v>
      </c>
      <c r="I230" s="191">
        <f>0.75*INPUT!CW75</f>
        <v>-212.85135393178524</v>
      </c>
      <c r="J230" s="445">
        <f>(IF(C230&gt;=0,H230,I230)*2+SUM(C230:G230))/2</f>
        <v>-1527.5086588338152</v>
      </c>
      <c r="K230" s="184">
        <f>J230/COS(INPUT!P75)</f>
        <v>-1539.5205101613674</v>
      </c>
      <c r="L230" s="489" t="str">
        <f>IF(ABS(K230)&lt;=B230,"OK","NG")</f>
        <v>OK</v>
      </c>
      <c r="M230" s="391">
        <f>B230/ABS(K230)</f>
        <v>1.5633427783340699</v>
      </c>
      <c r="N230" s="4"/>
    </row>
    <row r="231">
      <c r="A231" s="187">
        <f>A127</f>
        <v>101</v>
      </c>
      <c r="B231" s="191">
        <f>INPUT!CU76</f>
        <v>2406.7982716579568</v>
      </c>
      <c r="C231" s="191">
        <f>INPUT!BB76</f>
        <v>-683.35517469674232</v>
      </c>
      <c r="D231" s="191">
        <f>INPUT!BC76</f>
        <v>-0.91059939832501868</v>
      </c>
      <c r="E231" s="191">
        <f>INPUT!BD76</f>
        <v>-1194.0301894616569</v>
      </c>
      <c r="F231" s="191">
        <f>INPUT!CJ76</f>
        <v>-436.06870446189714</v>
      </c>
      <c r="G231" s="191">
        <f>INPUT!CK76</f>
        <v>-314.94994178543857</v>
      </c>
      <c r="H231" s="191">
        <f>0.75*INPUT!CV76</f>
        <v>11.551097862036368</v>
      </c>
      <c r="I231" s="191">
        <f>0.75*INPUT!CW76</f>
        <v>-212.85135393178524</v>
      </c>
      <c r="J231" s="445">
        <f>(IF(C231&gt;=0,H231,I231)*2+SUM(C231:G231))/2</f>
        <v>-1527.5086588338152</v>
      </c>
      <c r="K231" s="184">
        <f>J231/COS(INPUT!P76)</f>
        <v>-1539.5205101613674</v>
      </c>
      <c r="L231" s="489" t="str">
        <f>IF(ABS(K231)&lt;=B231,"OK","NG")</f>
        <v>OK</v>
      </c>
      <c r="M231" s="391">
        <f>B231/ABS(K231)</f>
        <v>1.5633427783340699</v>
      </c>
      <c r="N231" s="4"/>
    </row>
    <row r="232">
      <c r="A232" s="187">
        <f>A128</f>
        <v>101</v>
      </c>
      <c r="B232" s="191">
        <f>INPUT!CU77</f>
        <v>2406.7982716579568</v>
      </c>
      <c r="C232" s="191">
        <f>INPUT!BB77</f>
        <v>-683.35517469674232</v>
      </c>
      <c r="D232" s="191">
        <f>INPUT!BC77</f>
        <v>-0.91059939832501868</v>
      </c>
      <c r="E232" s="191">
        <f>INPUT!BD77</f>
        <v>-1194.0301894616569</v>
      </c>
      <c r="F232" s="191">
        <f>INPUT!CJ77</f>
        <v>-436.06870446189714</v>
      </c>
      <c r="G232" s="191">
        <f>INPUT!CK77</f>
        <v>-314.94994178543857</v>
      </c>
      <c r="H232" s="191">
        <f>0.75*INPUT!CV77</f>
        <v>11.551097862036368</v>
      </c>
      <c r="I232" s="191">
        <f>0.75*INPUT!CW77</f>
        <v>-212.85135393178524</v>
      </c>
      <c r="J232" s="445">
        <f>(IF(C232&gt;=0,H232,I232)*2+SUM(C232:G232))/2</f>
        <v>-1527.5086588338152</v>
      </c>
      <c r="K232" s="184">
        <f>J232/COS(INPUT!P77)</f>
        <v>-1539.5205101613674</v>
      </c>
      <c r="L232" s="489" t="str">
        <f>IF(ABS(K232)&lt;=B232,"OK","NG")</f>
        <v>OK</v>
      </c>
      <c r="M232" s="391">
        <f>B232/ABS(K232)</f>
        <v>1.5633427783340699</v>
      </c>
      <c r="N232" s="4"/>
    </row>
    <row r="233">
      <c r="A233" s="187">
        <f>A129</f>
        <v>101</v>
      </c>
      <c r="B233" s="191">
        <f>INPUT!CU78</f>
        <v>2406.7982716579568</v>
      </c>
      <c r="C233" s="191">
        <f>INPUT!BB78</f>
        <v>-683.35517469674232</v>
      </c>
      <c r="D233" s="191">
        <f>INPUT!BC78</f>
        <v>-0.91059939832501868</v>
      </c>
      <c r="E233" s="191">
        <f>INPUT!BD78</f>
        <v>-1194.0301894616569</v>
      </c>
      <c r="F233" s="191">
        <f>INPUT!CJ78</f>
        <v>-436.06870446189714</v>
      </c>
      <c r="G233" s="191">
        <f>INPUT!CK78</f>
        <v>-314.94994178543857</v>
      </c>
      <c r="H233" s="191">
        <f>0.75*INPUT!CV78</f>
        <v>11.551097862036368</v>
      </c>
      <c r="I233" s="191">
        <f>0.75*INPUT!CW78</f>
        <v>-212.85135393178524</v>
      </c>
      <c r="J233" s="445">
        <f>(IF(C233&gt;=0,H233,I233)*2+SUM(C233:G233))/2</f>
        <v>-1527.5086588338152</v>
      </c>
      <c r="K233" s="184">
        <f>J233/COS(INPUT!P78)</f>
        <v>-1539.5205101613674</v>
      </c>
      <c r="L233" s="489" t="str">
        <f>IF(ABS(K233)&lt;=B233,"OK","NG")</f>
        <v>OK</v>
      </c>
      <c r="M233" s="391">
        <f>B233/ABS(K233)</f>
        <v>1.5633427783340699</v>
      </c>
      <c r="N233" s="4"/>
    </row>
  </sheetData>
  <mergeCells>
    <mergeCell ref="L28:M28"/>
    <mergeCell ref="A36:A37"/>
    <mergeCell ref="B36:E37"/>
    <mergeCell ref="A38:A39"/>
    <mergeCell ref="F38:F39"/>
    <mergeCell ref="G38:H39"/>
    <mergeCell ref="I38:J39"/>
    <mergeCell ref="V44:X45"/>
    <mergeCell ref="Y44:AA45"/>
    <mergeCell ref="M40:M41"/>
    <mergeCell ref="A42:A43"/>
    <mergeCell ref="F42:F43"/>
    <mergeCell ref="G42:H43"/>
    <mergeCell ref="I42:J43"/>
    <mergeCell ref="K42:K43"/>
    <mergeCell ref="L42:L43"/>
    <mergeCell ref="M42:M43"/>
    <mergeCell ref="A40:A41"/>
    <mergeCell ref="B40:D41"/>
    <mergeCell ref="F40:F41"/>
    <mergeCell ref="G40:H41"/>
    <mergeCell ref="I40:J41"/>
    <mergeCell ref="K40:K41"/>
    <mergeCell ref="C156:G156"/>
    <mergeCell ref="H156:I156"/>
    <mergeCell ref="B38:E39"/>
    <mergeCell ref="B42:E43"/>
    <mergeCell ref="I52:N52"/>
    <mergeCell ref="A44:B45"/>
    <mergeCell ref="C44:J45"/>
    <mergeCell ref="K44:L45"/>
    <mergeCell ref="M44:O45"/>
    <mergeCell ref="K38:K39"/>
    <mergeCell ref="L38:L39"/>
    <mergeCell ref="M38:M39"/>
    <mergeCell ref="L40:L41"/>
    <mergeCell ref="C52:D52"/>
    <mergeCell ref="E52:F52"/>
  </mergeCells>
  <phoneticPr fontId="28" type="noConversion"/>
  <conditionalFormatting sqref="I54 K54 M54">
    <cfRule type="containsText" dxfId="0" priority="5" operator="containsText" text="NG">
      <formula>NOT(ISERROR(SEARCH("NG",I54)))</formula>
    </cfRule>
  </conditionalFormatting>
  <conditionalFormatting sqref="L83">
    <cfRule type="containsText" dxfId="0" priority="4" operator="containsText" text="NG">
      <formula>NOT(ISERROR(SEARCH("NG",L83)))</formula>
    </cfRule>
  </conditionalFormatting>
  <pageMargins left="0.6" right="0.4" top="1" bottom="1" header="0.4" footer="0.4"/>
  <pageSetup paperSize="9" orientation="portrait"/>
  <headerFooter/>
  <rowBreaks count="3" manualBreakCount="3">
    <brk id="50" max="1048575" man="1"/>
    <brk id="132" max="1048575" man="1"/>
    <brk id="154" max="1048575" man="1"/>
  </rowBreaks>
  <colBreaks count="1" manualBreakCount="1">
    <brk id="15" max="1638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INPUT</vt:lpstr>
      <vt:lpstr>Cons</vt:lpstr>
      <vt:lpstr>ULS</vt:lpstr>
      <vt:lpstr>SLS</vt:lpstr>
      <vt:lpstr>FLS</vt:lpstr>
      <vt:lpstr>Cons!Print_Area</vt:lpstr>
      <vt:lpstr>FLS!Print_Area</vt:lpstr>
      <vt:lpstr>SLS!Print_Area</vt:lpstr>
      <vt:lpstr>ULS!Print_Area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LXH</dc:creator>
  <cp:lastModifiedBy>LXH</cp:lastModifiedBy>
  <cp:lastPrinted>2020-10-29T11:57:35Z</cp:lastPrinted>
  <dcterms:created xsi:type="dcterms:W3CDTF">2020-04-19T14:35:42Z</dcterms:created>
  <dcterms:modified xsi:type="dcterms:W3CDTF">2020-10-30T12:56:14Z</dcterms:modified>
</cp:coreProperties>
</file>