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ve_every1\Desktop\Программер\2 курс 2\Электроника и Электротехника\Лабы\2\"/>
    </mc:Choice>
  </mc:AlternateContent>
  <xr:revisionPtr revIDLastSave="0" documentId="13_ncr:1_{5D068A11-EE79-4C7D-9A7A-E76EEE90A13B}" xr6:coauthVersionLast="47" xr6:coauthVersionMax="47" xr10:uidLastSave="{00000000-0000-0000-0000-000000000000}"/>
  <bookViews>
    <workbookView xWindow="-120" yWindow="-120" windowWidth="29040" windowHeight="16440" xr2:uid="{1AFE17CE-92BF-43D2-8372-51B39872887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M16" i="1"/>
  <c r="M17" i="1"/>
  <c r="M18" i="1"/>
  <c r="M19" i="1"/>
  <c r="M15" i="1"/>
  <c r="L16" i="1"/>
  <c r="L17" i="1"/>
  <c r="L18" i="1"/>
  <c r="L19" i="1"/>
  <c r="L15" i="1"/>
  <c r="E18" i="1"/>
  <c r="D18" i="1"/>
  <c r="C19" i="1"/>
  <c r="C20" i="1"/>
  <c r="C21" i="1"/>
  <c r="C22" i="1"/>
  <c r="B19" i="1"/>
  <c r="B20" i="1"/>
  <c r="B21" i="1"/>
  <c r="B22" i="1"/>
  <c r="A19" i="1"/>
  <c r="A20" i="1"/>
  <c r="A21" i="1"/>
  <c r="A22" i="1"/>
  <c r="B18" i="1"/>
  <c r="C18" i="1"/>
  <c r="A18" i="1"/>
  <c r="Q13" i="1" l="1"/>
  <c r="R13" i="1" s="1"/>
  <c r="P13" i="1"/>
  <c r="L6" i="1"/>
  <c r="J6" i="1"/>
  <c r="I6" i="1"/>
  <c r="U7" i="1" l="1"/>
  <c r="D19" i="1" s="1"/>
  <c r="E19" i="1" s="1"/>
  <c r="U8" i="1"/>
  <c r="D20" i="1" s="1"/>
  <c r="E20" i="1" s="1"/>
  <c r="U9" i="1"/>
  <c r="D21" i="1" s="1"/>
  <c r="E21" i="1" s="1"/>
  <c r="U10" i="1"/>
  <c r="D22" i="1" s="1"/>
  <c r="E22" i="1" s="1"/>
  <c r="U6" i="1"/>
  <c r="W6" i="1"/>
  <c r="X6" i="1"/>
  <c r="W7" i="1" l="1"/>
  <c r="W8" i="1"/>
  <c r="W9" i="1"/>
  <c r="W10" i="1"/>
  <c r="H7" i="1"/>
  <c r="H8" i="1"/>
  <c r="H9" i="1"/>
  <c r="H10" i="1"/>
  <c r="H6" i="1"/>
  <c r="K7" i="1"/>
  <c r="K8" i="1"/>
  <c r="K9" i="1"/>
  <c r="K10" i="1"/>
  <c r="K6" i="1"/>
  <c r="X10" i="1" l="1"/>
  <c r="X9" i="1"/>
  <c r="X7" i="1"/>
  <c r="X8" i="1"/>
  <c r="M6" i="1"/>
  <c r="V10" i="1"/>
  <c r="V9" i="1"/>
  <c r="V8" i="1"/>
  <c r="V7" i="1"/>
  <c r="V6" i="1"/>
  <c r="R7" i="1"/>
  <c r="R8" i="1"/>
  <c r="R9" i="1"/>
  <c r="Q9" i="1" s="1"/>
  <c r="R6" i="1"/>
  <c r="Q7" i="1"/>
  <c r="Q8" i="1"/>
  <c r="O6" i="1"/>
  <c r="O9" i="1"/>
  <c r="P9" i="1" s="1"/>
  <c r="O10" i="1"/>
  <c r="R10" i="1" s="1"/>
  <c r="Q10" i="1" s="1"/>
  <c r="O7" i="1"/>
  <c r="P7" i="1" s="1"/>
  <c r="O8" i="1"/>
  <c r="P8" i="1" s="1"/>
  <c r="N7" i="1"/>
  <c r="N8" i="1"/>
  <c r="N9" i="1"/>
  <c r="N10" i="1"/>
  <c r="Q17" i="1" l="1"/>
  <c r="I10" i="1"/>
  <c r="Q16" i="1"/>
  <c r="I9" i="1"/>
  <c r="Q15" i="1"/>
  <c r="I8" i="1"/>
  <c r="Q14" i="1"/>
  <c r="I7" i="1"/>
  <c r="P10" i="1"/>
  <c r="Q6" i="1"/>
  <c r="P6" i="1"/>
  <c r="N6" i="1"/>
  <c r="J7" i="1" l="1"/>
  <c r="L7" i="1" s="1"/>
  <c r="M7" i="1"/>
  <c r="M8" i="1"/>
  <c r="J8" i="1"/>
  <c r="L8" i="1" s="1"/>
  <c r="P15" i="1" s="1"/>
  <c r="R15" i="1" s="1"/>
  <c r="J9" i="1"/>
  <c r="L9" i="1" s="1"/>
  <c r="M9" i="1"/>
  <c r="J10" i="1"/>
  <c r="L10" i="1" s="1"/>
  <c r="M10" i="1"/>
  <c r="P16" i="1" l="1"/>
  <c r="R16" i="1" s="1"/>
  <c r="P17" i="1"/>
  <c r="R17" i="1" s="1"/>
  <c r="P14" i="1"/>
  <c r="R14" i="1" s="1"/>
</calcChain>
</file>

<file path=xl/sharedStrings.xml><?xml version="1.0" encoding="utf-8"?>
<sst xmlns="http://schemas.openxmlformats.org/spreadsheetml/2006/main" count="76" uniqueCount="58">
  <si>
    <t>№ опыта</t>
  </si>
  <si>
    <t>Измерено</t>
  </si>
  <si>
    <t>Вычислено</t>
  </si>
  <si>
    <t>С</t>
  </si>
  <si>
    <t>I</t>
  </si>
  <si>
    <t>P</t>
  </si>
  <si>
    <t>R</t>
  </si>
  <si>
    <t>мкФ</t>
  </si>
  <si>
    <t>А</t>
  </si>
  <si>
    <t>Вт</t>
  </si>
  <si>
    <t>В</t>
  </si>
  <si>
    <t>Ом</t>
  </si>
  <si>
    <t>U</t>
  </si>
  <si>
    <t>f</t>
  </si>
  <si>
    <t>гц</t>
  </si>
  <si>
    <t>L</t>
  </si>
  <si>
    <t>мГн</t>
  </si>
  <si>
    <r>
      <t>I</t>
    </r>
    <r>
      <rPr>
        <vertAlign val="subscript"/>
        <sz val="14"/>
        <color rgb="FF000000"/>
        <rFont val="Times New Roman"/>
        <family val="1"/>
        <charset val="204"/>
      </rPr>
      <t>1</t>
    </r>
  </si>
  <si>
    <r>
      <t>I</t>
    </r>
    <r>
      <rPr>
        <vertAlign val="subscript"/>
        <sz val="14"/>
        <color rgb="FF000000"/>
        <rFont val="Times New Roman"/>
        <family val="1"/>
        <charset val="204"/>
      </rPr>
      <t>2</t>
    </r>
  </si>
  <si>
    <r>
      <t>y</t>
    </r>
    <r>
      <rPr>
        <vertAlign val="subscript"/>
        <sz val="14"/>
        <color rgb="FF000000"/>
        <rFont val="Times New Roman"/>
        <family val="1"/>
        <charset val="204"/>
      </rPr>
      <t>k</t>
    </r>
  </si>
  <si>
    <r>
      <t>g</t>
    </r>
    <r>
      <rPr>
        <vertAlign val="subscript"/>
        <sz val="14"/>
        <color rgb="FF000000"/>
        <rFont val="Times New Roman"/>
        <family val="1"/>
        <charset val="204"/>
      </rPr>
      <t>k</t>
    </r>
  </si>
  <si>
    <t>g</t>
  </si>
  <si>
    <t>y</t>
  </si>
  <si>
    <t>cosф</t>
  </si>
  <si>
    <r>
      <t>I</t>
    </r>
    <r>
      <rPr>
        <i/>
        <vertAlign val="subscript"/>
        <sz val="14"/>
        <color rgb="FF000000"/>
        <rFont val="Times New Roman"/>
        <family val="1"/>
        <charset val="204"/>
      </rPr>
      <t>a</t>
    </r>
  </si>
  <si>
    <r>
      <t>I</t>
    </r>
    <r>
      <rPr>
        <vertAlign val="subscript"/>
        <sz val="14"/>
        <color rgb="FF000000"/>
        <rFont val="Times New Roman"/>
        <family val="1"/>
        <charset val="204"/>
      </rPr>
      <t>p</t>
    </r>
  </si>
  <si>
    <t>См</t>
  </si>
  <si>
    <t>-</t>
  </si>
  <si>
    <t>sinф</t>
  </si>
  <si>
    <t>103 мкФ – резонансное значение при L = 78 мГн.</t>
  </si>
  <si>
    <t>ф</t>
  </si>
  <si>
    <t>град</t>
  </si>
  <si>
    <t>Rk</t>
  </si>
  <si>
    <t>Zk</t>
  </si>
  <si>
    <t>b</t>
  </si>
  <si>
    <r>
      <t>b</t>
    </r>
    <r>
      <rPr>
        <vertAlign val="subscript"/>
        <sz val="14"/>
        <color rgb="FF000000"/>
        <rFont val="Times New Roman"/>
        <family val="1"/>
        <charset val="204"/>
      </rPr>
      <t>C</t>
    </r>
  </si>
  <si>
    <r>
      <t>b</t>
    </r>
    <r>
      <rPr>
        <vertAlign val="subscript"/>
        <sz val="14"/>
        <color rgb="FF000000"/>
        <rFont val="Times New Roman"/>
        <family val="1"/>
        <charset val="204"/>
      </rPr>
      <t>k</t>
    </r>
  </si>
  <si>
    <t>Емкость конд.</t>
  </si>
  <si>
    <t>Сила тока на вх</t>
  </si>
  <si>
    <t>Актив мощн цепи</t>
  </si>
  <si>
    <t>Сила на конд</t>
  </si>
  <si>
    <t>Сила на катуш</t>
  </si>
  <si>
    <t>Входное напряж</t>
  </si>
  <si>
    <t>Полн провод</t>
  </si>
  <si>
    <t>Актив проводим</t>
  </si>
  <si>
    <t>Реактив провод</t>
  </si>
  <si>
    <t>катушки инд</t>
  </si>
  <si>
    <t>конденсатора</t>
  </si>
  <si>
    <t>sqrt ( b^2 + g^2 )</t>
  </si>
  <si>
    <t>delta</t>
  </si>
  <si>
    <t>X_L</t>
  </si>
  <si>
    <t>Z</t>
  </si>
  <si>
    <t>Ir</t>
  </si>
  <si>
    <t>Z = R + jX</t>
  </si>
  <si>
    <t>Ir = U / Z</t>
  </si>
  <si>
    <t>L = (U / (2 * pi * f * Il))</t>
  </si>
  <si>
    <t>X_L = 2 * pi * f * L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</si>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</sst>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9C5700"/>
      <name val="Calibri"/>
      <family val="2"/>
      <charset val="204"/>
      <scheme val="minor"/>
    </font>
    <font>
      <i/>
      <sz val="14"/>
      <color rgb="FF000000"/>
      <name val="Times New Roman"/>
      <family val="1"/>
      <charset val="204"/>
    </font>
    <font>
      <i/>
      <vertAlign val="subscript"/>
      <sz val="14"/>
      <color rgb="FF000000"/>
      <name val="Times New Roman"/>
      <family val="1"/>
      <charset val="204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45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1" fillId="2" borderId="6" xfId="1" applyNumberFormat="1" applyBorder="1" applyAlignment="1">
      <alignment horizontal="center" vertical="center" wrapText="1"/>
    </xf>
    <xf numFmtId="2" fontId="6" fillId="3" borderId="6" xfId="2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2" borderId="11" xfId="1" applyBorder="1" applyAlignment="1">
      <alignment horizontal="center" vertical="center" wrapText="1"/>
    </xf>
    <xf numFmtId="0" fontId="1" fillId="2" borderId="12" xfId="1" applyBorder="1"/>
    <xf numFmtId="2" fontId="1" fillId="2" borderId="11" xfId="1" applyNumberFormat="1" applyBorder="1" applyAlignment="1">
      <alignment horizontal="center" vertical="center" wrapText="1"/>
    </xf>
    <xf numFmtId="2" fontId="1" fillId="2" borderId="15" xfId="1" applyNumberFormat="1" applyBorder="1" applyAlignment="1">
      <alignment horizontal="center" vertical="center" wrapText="1"/>
    </xf>
    <xf numFmtId="0" fontId="1" fillId="2" borderId="16" xfId="1" applyBorder="1"/>
    <xf numFmtId="0" fontId="1" fillId="2" borderId="0" xfId="1"/>
    <xf numFmtId="0" fontId="6" fillId="3" borderId="9" xfId="2" applyBorder="1" applyAlignment="1">
      <alignment horizontal="center" vertical="center" wrapText="1"/>
    </xf>
    <xf numFmtId="0" fontId="6" fillId="3" borderId="12" xfId="2" applyBorder="1"/>
    <xf numFmtId="2" fontId="6" fillId="3" borderId="15" xfId="2" applyNumberFormat="1" applyBorder="1" applyAlignment="1">
      <alignment horizontal="center" vertical="center" wrapText="1"/>
    </xf>
    <xf numFmtId="0" fontId="6" fillId="3" borderId="16" xfId="2" applyBorder="1"/>
    <xf numFmtId="0" fontId="6" fillId="3" borderId="0" xfId="2"/>
    <xf numFmtId="0" fontId="9" fillId="0" borderId="0" xfId="0" applyFont="1"/>
    <xf numFmtId="0" fontId="9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9" fontId="1" fillId="2" borderId="8" xfId="1" applyNumberFormat="1" applyBorder="1"/>
    <xf numFmtId="169" fontId="1" fillId="2" borderId="10" xfId="1" applyNumberFormat="1" applyBorder="1" applyAlignment="1">
      <alignment horizontal="center" vertical="center" wrapText="1"/>
    </xf>
    <xf numFmtId="169" fontId="1" fillId="2" borderId="11" xfId="1" applyNumberFormat="1" applyBorder="1" applyAlignment="1">
      <alignment horizontal="center" vertical="center" wrapText="1"/>
    </xf>
    <xf numFmtId="169" fontId="6" fillId="3" borderId="8" xfId="2" applyNumberFormat="1" applyBorder="1"/>
    <xf numFmtId="169" fontId="6" fillId="3" borderId="10" xfId="2" applyNumberFormat="1" applyBorder="1" applyAlignment="1">
      <alignment horizontal="center" vertical="center" wrapText="1"/>
    </xf>
    <xf numFmtId="169" fontId="6" fillId="3" borderId="11" xfId="2" applyNumberFormat="1" applyBorder="1" applyAlignment="1">
      <alignment horizontal="center" vertical="center" wrapText="1"/>
    </xf>
    <xf numFmtId="169" fontId="6" fillId="3" borderId="6" xfId="2" applyNumberFormat="1" applyBorder="1" applyAlignment="1">
      <alignment horizontal="center" vertical="center" wrapText="1"/>
    </xf>
    <xf numFmtId="169" fontId="6" fillId="3" borderId="13" xfId="2" applyNumberFormat="1" applyBorder="1" applyAlignment="1">
      <alignment horizontal="center" vertical="center" wrapText="1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Зависимости</a:t>
            </a:r>
            <a:r>
              <a:rPr lang="ru-RU" baseline="0"/>
              <a:t> от </a:t>
            </a:r>
            <a:r>
              <a:rPr lang="en-US" baseline="0"/>
              <a:t>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Лист1!$K$6:$K$10</c:f>
              <c:numCache>
                <c:formatCode>0.00000</c:formatCode>
                <c:ptCount val="5"/>
                <c:pt idx="0">
                  <c:v>3.2108455226542987E-2</c:v>
                </c:pt>
                <c:pt idx="1">
                  <c:v>2.2743425728500355E-2</c:v>
                </c:pt>
                <c:pt idx="2">
                  <c:v>2.9160739687055473E-2</c:v>
                </c:pt>
                <c:pt idx="3">
                  <c:v>3.5650623885918005E-2</c:v>
                </c:pt>
                <c:pt idx="4">
                  <c:v>4.1815582558970693E-2</c:v>
                </c:pt>
              </c:numCache>
            </c:numRef>
          </c:cat>
          <c:val>
            <c:numRef>
              <c:f>Лист1!$C$6:$C$10</c:f>
              <c:numCache>
                <c:formatCode>0.00000</c:formatCode>
                <c:ptCount val="5"/>
                <c:pt idx="0">
                  <c:v>0.29699999999999999</c:v>
                </c:pt>
                <c:pt idx="1">
                  <c:v>0.40799999999999997</c:v>
                </c:pt>
                <c:pt idx="2">
                  <c:v>0.314</c:v>
                </c:pt>
                <c:pt idx="3">
                  <c:v>0.30399999999999999</c:v>
                </c:pt>
                <c:pt idx="4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2-42F1-BB24-3E7547952E54}"/>
            </c:ext>
          </c:extLst>
        </c:ser>
        <c:ser>
          <c:idx val="2"/>
          <c:order val="1"/>
          <c:tx>
            <c:v>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Лист1!$K$6:$K$10</c:f>
              <c:numCache>
                <c:formatCode>0.00000</c:formatCode>
                <c:ptCount val="5"/>
                <c:pt idx="0">
                  <c:v>3.2108455226542987E-2</c:v>
                </c:pt>
                <c:pt idx="1">
                  <c:v>2.2743425728500355E-2</c:v>
                </c:pt>
                <c:pt idx="2">
                  <c:v>2.9160739687055473E-2</c:v>
                </c:pt>
                <c:pt idx="3">
                  <c:v>3.5650623885918005E-2</c:v>
                </c:pt>
                <c:pt idx="4">
                  <c:v>4.1815582558970693E-2</c:v>
                </c:pt>
              </c:numCache>
            </c:numRef>
          </c:cat>
          <c:val>
            <c:numRef>
              <c:f>Лист1!$P$6:$P$10</c:f>
              <c:numCache>
                <c:formatCode>0.00000</c:formatCode>
                <c:ptCount val="5"/>
                <c:pt idx="0">
                  <c:v>0.29432750624331078</c:v>
                </c:pt>
                <c:pt idx="1">
                  <c:v>0.29282160625444209</c:v>
                </c:pt>
                <c:pt idx="2">
                  <c:v>0.29480796586059738</c:v>
                </c:pt>
                <c:pt idx="3">
                  <c:v>0.29376114081996435</c:v>
                </c:pt>
                <c:pt idx="4">
                  <c:v>0.29485346676197283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42-42F1-BB24-3E7547952E54}"/>
            </c:ext>
          </c:extLst>
        </c:ser>
        <c:ser>
          <c:idx val="3"/>
          <c:order val="2"/>
          <c:tx>
            <c:v>Ip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Лист1!$K$6:$K$10</c:f>
              <c:numCache>
                <c:formatCode>0.00000</c:formatCode>
                <c:ptCount val="5"/>
                <c:pt idx="0">
                  <c:v>3.2108455226542987E-2</c:v>
                </c:pt>
                <c:pt idx="1">
                  <c:v>2.2743425728500355E-2</c:v>
                </c:pt>
                <c:pt idx="2">
                  <c:v>2.9160739687055473E-2</c:v>
                </c:pt>
                <c:pt idx="3">
                  <c:v>3.5650623885918005E-2</c:v>
                </c:pt>
                <c:pt idx="4">
                  <c:v>4.1815582558970693E-2</c:v>
                </c:pt>
              </c:numCache>
            </c:numRef>
          </c:cat>
          <c:val>
            <c:numRef>
              <c:f>Лист1!$Q$6:$Q$10</c:f>
              <c:numCache>
                <c:formatCode>0.00000</c:formatCode>
                <c:ptCount val="5"/>
                <c:pt idx="0">
                  <c:v>3.9753227146910465E-2</c:v>
                </c:pt>
                <c:pt idx="1">
                  <c:v>0.28411178594097158</c:v>
                </c:pt>
                <c:pt idx="2">
                  <c:v>0.10809377070459165</c:v>
                </c:pt>
                <c:pt idx="3">
                  <c:v>7.8232935162584075E-2</c:v>
                </c:pt>
                <c:pt idx="4">
                  <c:v>0.24286916876879658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42-42F1-BB24-3E7547952E54}"/>
            </c:ext>
          </c:extLst>
        </c:ser>
        <c:ser>
          <c:idx val="4"/>
          <c:order val="3"/>
          <c:tx>
            <c:v>cos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Лист1!$K$6:$K$10</c:f>
              <c:numCache>
                <c:formatCode>0.00000</c:formatCode>
                <c:ptCount val="5"/>
                <c:pt idx="0">
                  <c:v>3.2108455226542987E-2</c:v>
                </c:pt>
                <c:pt idx="1">
                  <c:v>2.2743425728500355E-2</c:v>
                </c:pt>
                <c:pt idx="2">
                  <c:v>2.9160739687055473E-2</c:v>
                </c:pt>
                <c:pt idx="3">
                  <c:v>3.5650623885918005E-2</c:v>
                </c:pt>
                <c:pt idx="4">
                  <c:v>4.1815582558970693E-2</c:v>
                </c:pt>
              </c:numCache>
            </c:numRef>
          </c:cat>
          <c:val>
            <c:numRef>
              <c:f>Лист1!$O$6:$O$10</c:f>
              <c:numCache>
                <c:formatCode>0.00000</c:formatCode>
                <c:ptCount val="5"/>
                <c:pt idx="0">
                  <c:v>0.9910017045229319</c:v>
                </c:pt>
                <c:pt idx="1">
                  <c:v>0.717700015329515</c:v>
                </c:pt>
                <c:pt idx="2">
                  <c:v>0.93887887216750765</c:v>
                </c:pt>
                <c:pt idx="3">
                  <c:v>0.9663195421709353</c:v>
                </c:pt>
                <c:pt idx="4">
                  <c:v>0.77186771403657806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42-42F1-BB24-3E754795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526304"/>
        <c:axId val="1663530464"/>
      </c:lineChart>
      <c:lineChart>
        <c:grouping val="standard"/>
        <c:varyColors val="0"/>
        <c:ser>
          <c:idx val="5"/>
          <c:order val="4"/>
          <c:tx>
            <c:v>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Лист1!$K$6:$K$10</c:f>
              <c:numCache>
                <c:formatCode>0.00000</c:formatCode>
                <c:ptCount val="5"/>
                <c:pt idx="0">
                  <c:v>3.2108455226542987E-2</c:v>
                </c:pt>
                <c:pt idx="1">
                  <c:v>2.2743425728500355E-2</c:v>
                </c:pt>
                <c:pt idx="2">
                  <c:v>2.9160739687055473E-2</c:v>
                </c:pt>
                <c:pt idx="3">
                  <c:v>3.5650623885918005E-2</c:v>
                </c:pt>
                <c:pt idx="4">
                  <c:v>4.1815582558970693E-2</c:v>
                </c:pt>
              </c:numCache>
            </c:numRef>
          </c:cat>
          <c:val>
            <c:numRef>
              <c:f>Лист1!$L$6:$L$10</c:f>
              <c:numCache>
                <c:formatCode>0.00000</c:formatCode>
                <c:ptCount val="5"/>
                <c:pt idx="0">
                  <c:v>-8.6578633377991376E-4</c:v>
                </c:pt>
                <c:pt idx="1">
                  <c:v>-1.0118912051491187E-2</c:v>
                </c:pt>
                <c:pt idx="2">
                  <c:v>-3.7025196990039255E-3</c:v>
                </c:pt>
                <c:pt idx="3">
                  <c:v>2.3195899609347592E-3</c:v>
                </c:pt>
                <c:pt idx="4">
                  <c:v>8.788408250193773E-3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42-42F1-BB24-3E754795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600"/>
        <c:axId val="29604480"/>
      </c:lineChart>
      <c:catAx>
        <c:axId val="1663526304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530464"/>
        <c:crosses val="autoZero"/>
        <c:auto val="1"/>
        <c:lblAlgn val="ctr"/>
        <c:lblOffset val="100"/>
        <c:noMultiLvlLbl val="0"/>
      </c:catAx>
      <c:valAx>
        <c:axId val="1663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526304"/>
        <c:crosses val="autoZero"/>
        <c:crossBetween val="between"/>
      </c:valAx>
      <c:valAx>
        <c:axId val="29604480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9600"/>
        <c:crosses val="max"/>
        <c:crossBetween val="between"/>
      </c:valAx>
      <c:catAx>
        <c:axId val="18689600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29604480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712096</xdr:colOff>
      <xdr:row>22</xdr:row>
      <xdr:rowOff>170624</xdr:rowOff>
    </xdr:from>
    <xdr:to>
      <xdr:col>23</xdr:col>
      <xdr:colOff>132521</xdr:colOff>
      <xdr:row>40</xdr:row>
      <xdr:rowOff>113474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0EB826-2A72-4690-ACF1-BB2E359F85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</xdr:colOff>
      <xdr:row>13</xdr:row>
      <xdr:rowOff>177257</xdr:rowOff>
    </xdr:from>
    <xdr:to>
      <xdr:col>10</xdr:col>
      <xdr:colOff>45168</xdr:colOff>
      <xdr:row>23</xdr:row>
      <xdr:rowOff>44264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0C55F1-663D-4752-89C8-608B36D9B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707" y="3034757"/>
          <a:ext cx="2454432" cy="1850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EFE5-F1DF-4EC9-BFC3-A2B610B78582}">
  <dimension ref="A1:X46"/>
  <sheetViews>
    <sheetView tabSelected="1" topLeftCell="H14" zoomScale="115" zoomScaleNormal="115" workbookViewId="0">
      <selection activeCell="U21" sqref="U21"/>
    </sheetView>
  </sheetViews>
  <sheetFormatPr defaultRowHeight="15" x14ac:dyDescent="0.25"/>
  <cols>
    <col min="1" max="7" width="9.42578125" bestFit="1" customWidth="1"/>
    <col min="8" max="9" width="12.28515625" bestFit="1" customWidth="1"/>
    <col min="10" max="10" width="11.5703125" bestFit="1" customWidth="1"/>
    <col min="11" max="16" width="12.28515625" bestFit="1" customWidth="1"/>
    <col min="17" max="17" width="11.5703125" bestFit="1" customWidth="1"/>
    <col min="18" max="22" width="9.42578125" bestFit="1" customWidth="1"/>
    <col min="23" max="24" width="9.28515625" bestFit="1" customWidth="1"/>
  </cols>
  <sheetData>
    <row r="1" spans="1:24" ht="19.5" customHeight="1" thickBot="1" x14ac:dyDescent="0.3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24" ht="19.5" customHeight="1" thickBot="1" x14ac:dyDescent="0.3">
      <c r="A2" s="31" t="s">
        <v>0</v>
      </c>
      <c r="B2" s="34" t="s">
        <v>1</v>
      </c>
      <c r="C2" s="35"/>
      <c r="D2" s="35"/>
      <c r="E2" s="35"/>
      <c r="F2" s="35"/>
      <c r="G2" s="36"/>
      <c r="H2" s="34" t="s">
        <v>2</v>
      </c>
      <c r="I2" s="35"/>
      <c r="J2" s="35"/>
      <c r="K2" s="35"/>
      <c r="L2" s="35"/>
      <c r="M2" s="35"/>
      <c r="N2" s="35"/>
      <c r="O2" s="35"/>
      <c r="P2" s="35"/>
      <c r="Q2" s="36"/>
    </row>
    <row r="3" spans="1:24" ht="21" thickBot="1" x14ac:dyDescent="0.3">
      <c r="A3" s="32"/>
      <c r="B3" s="1" t="s">
        <v>3</v>
      </c>
      <c r="C3" s="1" t="s">
        <v>4</v>
      </c>
      <c r="D3" s="1" t="s">
        <v>5</v>
      </c>
      <c r="E3" s="1" t="s">
        <v>17</v>
      </c>
      <c r="F3" s="1" t="s">
        <v>18</v>
      </c>
      <c r="G3" s="1" t="s">
        <v>12</v>
      </c>
      <c r="H3" s="1" t="s">
        <v>19</v>
      </c>
      <c r="I3" s="1" t="s">
        <v>20</v>
      </c>
      <c r="J3" s="8" t="s">
        <v>36</v>
      </c>
      <c r="K3" s="8" t="s">
        <v>35</v>
      </c>
      <c r="L3" s="8" t="s">
        <v>34</v>
      </c>
      <c r="M3" s="1" t="s">
        <v>21</v>
      </c>
      <c r="N3" s="1" t="s">
        <v>22</v>
      </c>
      <c r="O3" s="1" t="s">
        <v>23</v>
      </c>
      <c r="P3" s="1" t="s">
        <v>24</v>
      </c>
      <c r="Q3" s="1" t="s">
        <v>25</v>
      </c>
      <c r="R3" s="1" t="s">
        <v>28</v>
      </c>
      <c r="S3" s="1" t="s">
        <v>13</v>
      </c>
      <c r="T3" s="1" t="s">
        <v>15</v>
      </c>
      <c r="U3" s="1" t="s">
        <v>6</v>
      </c>
      <c r="V3" s="10" t="s">
        <v>30</v>
      </c>
      <c r="W3" s="10" t="s">
        <v>32</v>
      </c>
      <c r="X3" s="10" t="s">
        <v>33</v>
      </c>
    </row>
    <row r="4" spans="1:24" ht="15" customHeight="1" x14ac:dyDescent="0.25">
      <c r="A4" s="32"/>
      <c r="B4" s="26" t="s">
        <v>7</v>
      </c>
      <c r="C4" s="26" t="s">
        <v>8</v>
      </c>
      <c r="D4" s="26" t="s">
        <v>9</v>
      </c>
      <c r="E4" s="26" t="s">
        <v>8</v>
      </c>
      <c r="F4" s="26" t="s">
        <v>8</v>
      </c>
      <c r="G4" s="26" t="s">
        <v>10</v>
      </c>
      <c r="H4" s="26" t="s">
        <v>26</v>
      </c>
      <c r="I4" s="26" t="s">
        <v>26</v>
      </c>
      <c r="J4" s="26" t="s">
        <v>26</v>
      </c>
      <c r="K4" s="26" t="s">
        <v>26</v>
      </c>
      <c r="L4" s="26" t="s">
        <v>26</v>
      </c>
      <c r="M4" s="26" t="s">
        <v>26</v>
      </c>
      <c r="N4" s="26" t="s">
        <v>26</v>
      </c>
      <c r="O4" s="26" t="s">
        <v>27</v>
      </c>
      <c r="P4" s="26" t="s">
        <v>8</v>
      </c>
      <c r="Q4" s="26" t="s">
        <v>8</v>
      </c>
      <c r="R4" s="26" t="s">
        <v>27</v>
      </c>
      <c r="S4" s="26" t="s">
        <v>14</v>
      </c>
      <c r="T4" s="26" t="s">
        <v>16</v>
      </c>
      <c r="U4" s="26" t="s">
        <v>11</v>
      </c>
      <c r="V4" s="26" t="s">
        <v>31</v>
      </c>
      <c r="W4" s="26" t="s">
        <v>11</v>
      </c>
      <c r="X4" s="26" t="s">
        <v>11</v>
      </c>
    </row>
    <row r="5" spans="1:24" ht="15.75" customHeight="1" thickBot="1" x14ac:dyDescent="0.3">
      <c r="A5" s="33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5.75" thickBot="1" x14ac:dyDescent="0.3">
      <c r="A6" s="9">
        <v>1</v>
      </c>
      <c r="B6" s="37">
        <v>103</v>
      </c>
      <c r="C6" s="37">
        <v>0.29699999999999999</v>
      </c>
      <c r="D6" s="37">
        <v>8.25</v>
      </c>
      <c r="E6" s="37">
        <v>0.9</v>
      </c>
      <c r="F6" s="37">
        <v>0.97</v>
      </c>
      <c r="G6" s="37">
        <v>28.03</v>
      </c>
      <c r="H6" s="38">
        <f>F6/G6</f>
        <v>3.4605779521940778E-2</v>
      </c>
      <c r="I6" s="39">
        <f>N6*O6</f>
        <v>1.0500446173503772E-2</v>
      </c>
      <c r="J6" s="39">
        <f>SQRT((H6*H6)-(I6*I6))</f>
        <v>3.2974241560322901E-2</v>
      </c>
      <c r="K6" s="39">
        <f>E6/G6</f>
        <v>3.2108455226542987E-2</v>
      </c>
      <c r="L6" s="39">
        <f>K6-J6</f>
        <v>-8.6578633377991376E-4</v>
      </c>
      <c r="M6" s="39">
        <f>I6</f>
        <v>1.0500446173503772E-2</v>
      </c>
      <c r="N6" s="39">
        <f>C6/G6</f>
        <v>1.0595790224759186E-2</v>
      </c>
      <c r="O6" s="39">
        <f>D6/(G6*C6)</f>
        <v>0.9910017045229319</v>
      </c>
      <c r="P6" s="39">
        <f>C6*O6</f>
        <v>0.29432750624331078</v>
      </c>
      <c r="Q6" s="39">
        <f>C6*R6</f>
        <v>3.9753227146910465E-2</v>
      </c>
      <c r="R6" s="12">
        <f>SQRT(1-O6*O6)</f>
        <v>0.13384924965289718</v>
      </c>
      <c r="S6" s="13">
        <v>50</v>
      </c>
      <c r="T6" s="13">
        <v>78</v>
      </c>
      <c r="U6" s="14">
        <f>G6/C6</f>
        <v>94.377104377104388</v>
      </c>
      <c r="V6" s="15">
        <f>DEGREES(0.134137)</f>
        <v>7.6854839765463243</v>
      </c>
      <c r="W6" s="16">
        <f>D6/(C6*C6)-U6</f>
        <v>-0.84923307145530202</v>
      </c>
      <c r="X6" s="16">
        <f>1/H6</f>
        <v>28.896907216494846</v>
      </c>
    </row>
    <row r="7" spans="1:24" ht="15.75" thickBot="1" x14ac:dyDescent="0.3">
      <c r="A7" s="17">
        <v>2</v>
      </c>
      <c r="B7" s="40">
        <v>73</v>
      </c>
      <c r="C7" s="40">
        <v>0.40799999999999997</v>
      </c>
      <c r="D7" s="40">
        <v>8.24</v>
      </c>
      <c r="E7" s="40">
        <v>0.64</v>
      </c>
      <c r="F7" s="40">
        <v>0.97</v>
      </c>
      <c r="G7" s="40">
        <v>28.14</v>
      </c>
      <c r="H7" s="41">
        <f>F7/G7</f>
        <v>3.4470504619758348E-2</v>
      </c>
      <c r="I7" s="39">
        <f>N7*O7</f>
        <v>1.0405885083668874E-2</v>
      </c>
      <c r="J7" s="42">
        <f>SQRT(H7*H7-I7*I7)</f>
        <v>3.2862337779991542E-2</v>
      </c>
      <c r="K7" s="42">
        <f>E7/G7</f>
        <v>2.2743425728500355E-2</v>
      </c>
      <c r="L7" s="39">
        <f>K7-J7</f>
        <v>-1.0118912051491187E-2</v>
      </c>
      <c r="M7" s="42">
        <f>I7</f>
        <v>1.0405885083668874E-2</v>
      </c>
      <c r="N7" s="43">
        <f>C7/G7</f>
        <v>1.4498933901918976E-2</v>
      </c>
      <c r="O7" s="43">
        <f>D7/(G7*C7)</f>
        <v>0.717700015329515</v>
      </c>
      <c r="P7" s="43">
        <f>C7*O7</f>
        <v>0.29282160625444209</v>
      </c>
      <c r="Q7" s="43">
        <f>C7*R7</f>
        <v>0.28411178594097158</v>
      </c>
      <c r="R7" s="18">
        <f>SQRT(1-O7*O7)</f>
        <v>0.6963524165219892</v>
      </c>
      <c r="S7" s="7">
        <v>50</v>
      </c>
      <c r="T7" s="7">
        <v>78</v>
      </c>
      <c r="U7" s="19">
        <f>G7/C7</f>
        <v>68.97058823529413</v>
      </c>
      <c r="V7" s="20">
        <f>DEGREES(0.770303)</f>
        <v>44.135110846265853</v>
      </c>
      <c r="W7" s="21">
        <f>D7/(C7*C7)-U7</f>
        <v>-19.470396001537871</v>
      </c>
      <c r="X7" s="21">
        <f>1/H7</f>
        <v>29.010309278350519</v>
      </c>
    </row>
    <row r="8" spans="1:24" ht="15.75" thickBot="1" x14ac:dyDescent="0.3">
      <c r="A8" s="17">
        <v>3</v>
      </c>
      <c r="B8" s="40">
        <v>93</v>
      </c>
      <c r="C8" s="40">
        <v>0.314</v>
      </c>
      <c r="D8" s="40">
        <v>8.2899999999999991</v>
      </c>
      <c r="E8" s="40">
        <v>0.82</v>
      </c>
      <c r="F8" s="40">
        <v>0.97</v>
      </c>
      <c r="G8" s="40">
        <v>28.12</v>
      </c>
      <c r="H8" s="41">
        <f>F8/G8</f>
        <v>3.4495021337126598E-2</v>
      </c>
      <c r="I8" s="39">
        <f>N8*O8</f>
        <v>1.0483924817233195E-2</v>
      </c>
      <c r="J8" s="42">
        <f>SQRT(H8*H8-I8*I8)</f>
        <v>3.2863259386059399E-2</v>
      </c>
      <c r="K8" s="42">
        <f>E8/G8</f>
        <v>2.9160739687055473E-2</v>
      </c>
      <c r="L8" s="39">
        <f>K8-J8</f>
        <v>-3.7025196990039255E-3</v>
      </c>
      <c r="M8" s="42">
        <f>I8</f>
        <v>1.0483924817233195E-2</v>
      </c>
      <c r="N8" s="43">
        <f>C8/G8</f>
        <v>1.1166429587482219E-2</v>
      </c>
      <c r="O8" s="43">
        <f>D8/(G8*C8)</f>
        <v>0.93887887216750765</v>
      </c>
      <c r="P8" s="43">
        <f>C8*O8</f>
        <v>0.29480796586059738</v>
      </c>
      <c r="Q8" s="43">
        <f>C8*R8</f>
        <v>0.10809377070459165</v>
      </c>
      <c r="R8" s="18">
        <f>SQRT(1-O8*O8)</f>
        <v>0.34424767740315815</v>
      </c>
      <c r="S8" s="7">
        <v>50</v>
      </c>
      <c r="T8" s="7">
        <v>78</v>
      </c>
      <c r="U8" s="19">
        <f>G8/C8</f>
        <v>89.554140127388536</v>
      </c>
      <c r="V8" s="20">
        <f>DEGREES(0.351437)</f>
        <v>20.135856864739111</v>
      </c>
      <c r="W8" s="21">
        <f>D8/(C8*C8)-U8</f>
        <v>-5.4736500466550524</v>
      </c>
      <c r="X8" s="21">
        <f>1/H8</f>
        <v>28.989690721649485</v>
      </c>
    </row>
    <row r="9" spans="1:24" ht="15.75" thickBot="1" x14ac:dyDescent="0.3">
      <c r="A9" s="17">
        <v>4</v>
      </c>
      <c r="B9" s="40">
        <v>113</v>
      </c>
      <c r="C9" s="40">
        <v>0.30399999999999999</v>
      </c>
      <c r="D9" s="40">
        <v>8.24</v>
      </c>
      <c r="E9" s="40">
        <v>1</v>
      </c>
      <c r="F9" s="40">
        <v>0.98</v>
      </c>
      <c r="G9" s="40">
        <v>28.05</v>
      </c>
      <c r="H9" s="41">
        <f>F9/G9</f>
        <v>3.4937611408199641E-2</v>
      </c>
      <c r="I9" s="39">
        <f>N9*O9</f>
        <v>1.0472767943670743E-2</v>
      </c>
      <c r="J9" s="42">
        <f>SQRT(H9*H9-I9*I9)</f>
        <v>3.3331033924983246E-2</v>
      </c>
      <c r="K9" s="42">
        <f>E9/G9</f>
        <v>3.5650623885918005E-2</v>
      </c>
      <c r="L9" s="39">
        <f>K9-J9</f>
        <v>2.3195899609347592E-3</v>
      </c>
      <c r="M9" s="42">
        <f>I9</f>
        <v>1.0472767943670743E-2</v>
      </c>
      <c r="N9" s="43">
        <f>C9/G9</f>
        <v>1.0837789661319073E-2</v>
      </c>
      <c r="O9" s="43">
        <f>D9/(G9*C9)</f>
        <v>0.9663195421709353</v>
      </c>
      <c r="P9" s="43">
        <f>C9*O9</f>
        <v>0.29376114081996435</v>
      </c>
      <c r="Q9" s="43">
        <f>C9*R9</f>
        <v>7.8232935162584075E-2</v>
      </c>
      <c r="R9" s="18">
        <f>SQRT(1-O9*O9)</f>
        <v>0.25734518145586865</v>
      </c>
      <c r="S9" s="7">
        <v>50</v>
      </c>
      <c r="T9" s="7">
        <v>78</v>
      </c>
      <c r="U9" s="19">
        <f>G9/C9</f>
        <v>92.269736842105274</v>
      </c>
      <c r="V9" s="20">
        <f>DEGREES(0.260274)</f>
        <v>14.912601716987989</v>
      </c>
      <c r="W9" s="21">
        <f>D9/(C9*C9)-U9</f>
        <v>-3.1076869806094294</v>
      </c>
      <c r="X9" s="21">
        <f>1/H9</f>
        <v>28.622448979591837</v>
      </c>
    </row>
    <row r="10" spans="1:24" ht="15.75" thickBot="1" x14ac:dyDescent="0.3">
      <c r="A10" s="17">
        <v>5</v>
      </c>
      <c r="B10" s="40">
        <v>133</v>
      </c>
      <c r="C10" s="40">
        <v>0.38200000000000001</v>
      </c>
      <c r="D10" s="40">
        <v>8.25</v>
      </c>
      <c r="E10" s="40">
        <v>1.17</v>
      </c>
      <c r="F10" s="40">
        <v>0.97</v>
      </c>
      <c r="G10" s="40">
        <v>27.98</v>
      </c>
      <c r="H10" s="41">
        <f>F10/G10</f>
        <v>3.4667619728377411E-2</v>
      </c>
      <c r="I10" s="39">
        <f>N10*O10</f>
        <v>1.0538008104430766E-2</v>
      </c>
      <c r="J10" s="42">
        <f>SQRT(H10*H10-I10*I10)</f>
        <v>3.302717430877692E-2</v>
      </c>
      <c r="K10" s="42">
        <f>E10/G10</f>
        <v>4.1815582558970693E-2</v>
      </c>
      <c r="L10" s="39">
        <f>K10-J10</f>
        <v>8.788408250193773E-3</v>
      </c>
      <c r="M10" s="42">
        <f>I10</f>
        <v>1.0538008104430766E-2</v>
      </c>
      <c r="N10" s="44">
        <f>C10/G10</f>
        <v>1.3652609006433166E-2</v>
      </c>
      <c r="O10" s="44">
        <f>D10/(G10*C10)</f>
        <v>0.77186771403657806</v>
      </c>
      <c r="P10" s="44">
        <f>C10*O10</f>
        <v>0.29485346676197283</v>
      </c>
      <c r="Q10" s="44">
        <f>C10*R10</f>
        <v>0.24286916876879658</v>
      </c>
      <c r="R10" s="18">
        <f>SQRT(1-O10*O10)</f>
        <v>0.63578316431622139</v>
      </c>
      <c r="S10" s="7">
        <v>50</v>
      </c>
      <c r="T10" s="7">
        <v>78</v>
      </c>
      <c r="U10" s="19">
        <f>G10/C10</f>
        <v>73.246073298429323</v>
      </c>
      <c r="V10" s="20">
        <f>DEGREES(0.689023)</f>
        <v>39.478109887442521</v>
      </c>
      <c r="W10" s="21">
        <f>D10/(C10*C10)-U10</f>
        <v>-16.709794139415038</v>
      </c>
      <c r="X10" s="21">
        <f>1/H10</f>
        <v>28.845360824742269</v>
      </c>
    </row>
    <row r="11" spans="1:24" ht="19.5" thickBot="1" x14ac:dyDescent="0.3">
      <c r="A11" s="2"/>
      <c r="B11" s="22" t="s">
        <v>37</v>
      </c>
      <c r="C11" s="22" t="s">
        <v>38</v>
      </c>
      <c r="D11" s="22" t="s">
        <v>39</v>
      </c>
      <c r="E11" s="23" t="s">
        <v>40</v>
      </c>
      <c r="F11" s="22" t="s">
        <v>41</v>
      </c>
      <c r="G11" s="22" t="s">
        <v>42</v>
      </c>
      <c r="H11" s="22" t="s">
        <v>43</v>
      </c>
      <c r="I11" s="22" t="s">
        <v>44</v>
      </c>
      <c r="J11" s="22" t="s">
        <v>45</v>
      </c>
      <c r="K11" s="22" t="s">
        <v>45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4" ht="19.5" thickBot="1" x14ac:dyDescent="0.3">
      <c r="H12" s="22" t="s">
        <v>46</v>
      </c>
      <c r="I12" s="22" t="s">
        <v>46</v>
      </c>
      <c r="J12" s="22" t="s">
        <v>46</v>
      </c>
      <c r="K12" s="22" t="s">
        <v>47</v>
      </c>
      <c r="L12" s="8"/>
      <c r="P12" s="22" t="s">
        <v>48</v>
      </c>
      <c r="Q12" s="22" t="s">
        <v>22</v>
      </c>
      <c r="R12" s="22" t="s">
        <v>49</v>
      </c>
      <c r="S12" s="7"/>
      <c r="T12" s="7"/>
      <c r="U12" s="7"/>
    </row>
    <row r="13" spans="1:24" ht="15.75" thickBot="1" x14ac:dyDescent="0.3">
      <c r="L13" s="26"/>
      <c r="P13" s="22">
        <f t="shared" ref="P13:P17" si="0">SQRT(L6*L6+M6*M6)</f>
        <v>1.0536078768612641E-2</v>
      </c>
      <c r="Q13" s="22">
        <f t="shared" ref="Q13:Q17" si="1">N6</f>
        <v>1.0595790224759186E-2</v>
      </c>
      <c r="R13" s="22">
        <f t="shared" ref="R13:R17" si="2">Q13-P13</f>
        <v>5.9711456146544634E-5</v>
      </c>
      <c r="S13" s="3"/>
      <c r="T13" s="3"/>
      <c r="U13" s="3"/>
    </row>
    <row r="14" spans="1:24" ht="15.75" thickBot="1" x14ac:dyDescent="0.3">
      <c r="L14" s="27"/>
      <c r="P14" s="22">
        <f t="shared" si="0"/>
        <v>1.4514641762039322E-2</v>
      </c>
      <c r="Q14" s="22">
        <f t="shared" si="1"/>
        <v>1.4498933901918976E-2</v>
      </c>
      <c r="R14" s="22">
        <f t="shared" si="2"/>
        <v>-1.5707860120346695E-5</v>
      </c>
      <c r="S14" s="6"/>
      <c r="T14" s="6"/>
      <c r="U14" s="6"/>
    </row>
    <row r="15" spans="1:24" ht="15.75" thickBot="1" x14ac:dyDescent="0.3">
      <c r="L15" s="11">
        <f>L6*1000</f>
        <v>-0.86578633377991376</v>
      </c>
      <c r="M15">
        <f>M6*1000</f>
        <v>10.500446173503772</v>
      </c>
      <c r="N15">
        <f>N6*1000</f>
        <v>10.595790224759186</v>
      </c>
      <c r="P15" s="22">
        <f t="shared" si="0"/>
        <v>1.1118513016357457E-2</v>
      </c>
      <c r="Q15" s="22">
        <f t="shared" si="1"/>
        <v>1.1166429587482219E-2</v>
      </c>
      <c r="R15" s="22">
        <f t="shared" si="2"/>
        <v>4.7916571124762344E-5</v>
      </c>
      <c r="S15" s="3"/>
      <c r="T15" s="3"/>
      <c r="U15" s="3"/>
    </row>
    <row r="16" spans="1:24" ht="15.75" thickBot="1" x14ac:dyDescent="0.3">
      <c r="B16" t="s">
        <v>56</v>
      </c>
      <c r="C16" t="s">
        <v>55</v>
      </c>
      <c r="D16" t="s">
        <v>53</v>
      </c>
      <c r="E16" t="s">
        <v>54</v>
      </c>
      <c r="L16" s="11">
        <f t="shared" ref="L16:N19" si="3">L7*1000</f>
        <v>-10.118912051491186</v>
      </c>
      <c r="M16">
        <f t="shared" si="3"/>
        <v>10.405885083668874</v>
      </c>
      <c r="N16">
        <f t="shared" si="3"/>
        <v>14.498933901918976</v>
      </c>
      <c r="P16" s="22">
        <f t="shared" si="0"/>
        <v>1.0726572891135679E-2</v>
      </c>
      <c r="Q16" s="22">
        <f t="shared" si="1"/>
        <v>1.0837789661319073E-2</v>
      </c>
      <c r="R16" s="22">
        <f t="shared" si="2"/>
        <v>1.1121677018339354E-4</v>
      </c>
    </row>
    <row r="17" spans="1:18" ht="15.75" thickBot="1" x14ac:dyDescent="0.3">
      <c r="A17" t="s">
        <v>57</v>
      </c>
      <c r="B17" t="s">
        <v>50</v>
      </c>
      <c r="C17" t="s">
        <v>15</v>
      </c>
      <c r="D17" t="s">
        <v>51</v>
      </c>
      <c r="E17" t="s">
        <v>52</v>
      </c>
      <c r="L17" s="11">
        <f t="shared" si="3"/>
        <v>-3.7025196990039255</v>
      </c>
      <c r="M17">
        <f t="shared" si="3"/>
        <v>10.483924817233195</v>
      </c>
      <c r="N17">
        <f t="shared" si="3"/>
        <v>11.16642958748222</v>
      </c>
      <c r="P17" s="22">
        <f t="shared" si="0"/>
        <v>1.3721724905460045E-2</v>
      </c>
      <c r="Q17" s="22">
        <f t="shared" si="1"/>
        <v>1.3652609006433166E-2</v>
      </c>
      <c r="R17" s="22">
        <f t="shared" si="2"/>
        <v>-6.9115899026878785E-5</v>
      </c>
    </row>
    <row r="18" spans="1:18" ht="15.75" thickBot="1" x14ac:dyDescent="0.3">
      <c r="A18">
        <f>G6*E6</f>
        <v>25.227</v>
      </c>
      <c r="B18">
        <f>2*PI()*50*C18</f>
        <v>28.896907216494849</v>
      </c>
      <c r="C18" s="24">
        <f>G6/(2*PI()*50*F6)</f>
        <v>9.198171247146035E-2</v>
      </c>
      <c r="D18" s="25" t="str">
        <f>COMPLEX(U6, B18)</f>
        <v>94,3771043771044+28,8969072164948i</v>
      </c>
      <c r="E18">
        <f>G6/IMREAL(D18)</f>
        <v>0.29699999999999993</v>
      </c>
      <c r="L18" s="11">
        <f t="shared" si="3"/>
        <v>2.319589960934759</v>
      </c>
      <c r="M18">
        <f t="shared" si="3"/>
        <v>10.472767943670743</v>
      </c>
      <c r="N18">
        <f t="shared" si="3"/>
        <v>10.837789661319073</v>
      </c>
    </row>
    <row r="19" spans="1:18" ht="15.75" thickBot="1" x14ac:dyDescent="0.3">
      <c r="A19">
        <f t="shared" ref="A19:A22" si="4">G7*E7</f>
        <v>18.009600000000002</v>
      </c>
      <c r="B19">
        <f t="shared" ref="B19:B22" si="5">2*PI()*50*C19</f>
        <v>29.010309278350519</v>
      </c>
      <c r="C19" s="24">
        <f t="shared" ref="C19:C22" si="6">G7/(2*PI()*50*F7)</f>
        <v>9.2342682445483201E-2</v>
      </c>
      <c r="D19" s="25" t="str">
        <f t="shared" ref="D19:D22" si="7">COMPLEX(U7, B19)</f>
        <v>68,9705882352941+29,0103092783505i</v>
      </c>
      <c r="E19">
        <f t="shared" ref="E19:E22" si="8">G7/IMREAL(D19)</f>
        <v>0.40800000000000008</v>
      </c>
      <c r="L19" s="11">
        <f t="shared" si="3"/>
        <v>8.7884082501937737</v>
      </c>
      <c r="M19">
        <f t="shared" si="3"/>
        <v>10.538008104430766</v>
      </c>
      <c r="N19">
        <f t="shared" si="3"/>
        <v>13.652609006433167</v>
      </c>
    </row>
    <row r="20" spans="1:18" ht="15.75" thickBot="1" x14ac:dyDescent="0.3">
      <c r="A20">
        <f t="shared" si="4"/>
        <v>23.058399999999999</v>
      </c>
      <c r="B20">
        <f t="shared" si="5"/>
        <v>28.989690721649488</v>
      </c>
      <c r="C20" s="24">
        <f t="shared" si="6"/>
        <v>9.2277051541115415E-2</v>
      </c>
      <c r="D20" s="25" t="str">
        <f t="shared" si="7"/>
        <v>89,5541401273885+28,9896907216495i</v>
      </c>
      <c r="E20">
        <f t="shared" si="8"/>
        <v>0.31400000000000017</v>
      </c>
      <c r="L20" s="3"/>
    </row>
    <row r="21" spans="1:18" x14ac:dyDescent="0.25">
      <c r="A21">
        <f t="shared" si="4"/>
        <v>28.05</v>
      </c>
      <c r="B21">
        <f t="shared" si="5"/>
        <v>28.622448979591837</v>
      </c>
      <c r="C21" s="24">
        <f t="shared" si="6"/>
        <v>9.110808476995233E-2</v>
      </c>
      <c r="D21" s="25" t="str">
        <f t="shared" si="7"/>
        <v>92,2697368421053+28,6224489795918i</v>
      </c>
      <c r="E21">
        <f t="shared" si="8"/>
        <v>0.30399999999999988</v>
      </c>
    </row>
    <row r="22" spans="1:18" x14ac:dyDescent="0.25">
      <c r="A22">
        <f t="shared" si="4"/>
        <v>32.736599999999996</v>
      </c>
      <c r="B22">
        <f t="shared" si="5"/>
        <v>28.845360824742269</v>
      </c>
      <c r="C22" s="24">
        <f t="shared" si="6"/>
        <v>9.1817635210540857E-2</v>
      </c>
      <c r="D22" s="25" t="str">
        <f t="shared" si="7"/>
        <v>73,2460732984293+28,8453608247423i</v>
      </c>
      <c r="E22">
        <f t="shared" si="8"/>
        <v>0.38200000000000012</v>
      </c>
    </row>
    <row r="38" spans="1:21" ht="19.5" thickBot="1" x14ac:dyDescent="0.3">
      <c r="A38" s="2"/>
      <c r="B38" s="3"/>
      <c r="C38" s="3"/>
      <c r="D38" s="3"/>
      <c r="E38" s="3"/>
      <c r="F38" s="3"/>
      <c r="G38" s="3"/>
      <c r="H38" s="3"/>
      <c r="I38" s="4"/>
      <c r="J38" s="3"/>
      <c r="K38" s="3"/>
      <c r="L38" s="3"/>
      <c r="M38" s="3"/>
      <c r="N38" s="3"/>
      <c r="O38" s="3"/>
      <c r="P38" s="3"/>
      <c r="Q38" s="3"/>
    </row>
    <row r="39" spans="1:21" ht="19.5" thickBot="1" x14ac:dyDescent="0.3">
      <c r="A39" s="2"/>
      <c r="B39" s="3"/>
      <c r="C39" s="3"/>
      <c r="D39" s="3"/>
      <c r="E39" s="3"/>
      <c r="F39" s="3"/>
      <c r="G39" s="3"/>
      <c r="H39" s="3"/>
      <c r="I39" s="4"/>
      <c r="J39" s="3"/>
      <c r="K39" s="3"/>
      <c r="L39" s="3"/>
      <c r="M39" s="3"/>
      <c r="N39" s="3"/>
      <c r="O39" s="3"/>
      <c r="P39" s="3"/>
      <c r="Q39" s="3"/>
    </row>
    <row r="40" spans="1:21" ht="19.5" thickBot="1" x14ac:dyDescent="0.3">
      <c r="A40" s="2"/>
      <c r="B40" s="3"/>
      <c r="C40" s="5"/>
      <c r="D40" s="5"/>
      <c r="E40" s="3"/>
      <c r="F40" s="3"/>
      <c r="G40" s="3"/>
      <c r="H40" s="3"/>
      <c r="I40" s="4"/>
      <c r="J40" s="3"/>
      <c r="K40" s="3"/>
      <c r="L40" s="3"/>
      <c r="M40" s="3"/>
      <c r="N40" s="3"/>
      <c r="O40" s="3"/>
      <c r="P40" s="3"/>
      <c r="Q40" s="3"/>
    </row>
    <row r="41" spans="1:21" ht="19.5" thickBot="1" x14ac:dyDescent="0.3">
      <c r="A41" s="2"/>
      <c r="B41" s="3"/>
      <c r="C41" s="3"/>
      <c r="D41" s="3"/>
      <c r="E41" s="3"/>
      <c r="F41" s="3"/>
      <c r="G41" s="3"/>
      <c r="H41" s="3"/>
      <c r="I41" s="4"/>
      <c r="J41" s="3"/>
      <c r="K41" s="3"/>
      <c r="L41" s="3"/>
      <c r="M41" s="3"/>
      <c r="N41" s="3"/>
      <c r="O41" s="3"/>
      <c r="P41" s="3"/>
      <c r="Q41" s="3"/>
    </row>
    <row r="42" spans="1:21" ht="19.5" thickBot="1" x14ac:dyDescent="0.3">
      <c r="A42" s="2"/>
      <c r="B42" s="3"/>
      <c r="C42" s="3"/>
      <c r="D42" s="3"/>
      <c r="E42" s="3"/>
      <c r="F42" s="3"/>
      <c r="G42" s="3"/>
      <c r="H42" s="3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thickBot="1" x14ac:dyDescent="0.3">
      <c r="R43" s="3"/>
      <c r="S43" s="3"/>
      <c r="T43" s="3"/>
      <c r="U43" s="3"/>
    </row>
    <row r="44" spans="1:21" ht="15.75" thickBot="1" x14ac:dyDescent="0.3">
      <c r="R44" s="3"/>
      <c r="S44" s="3"/>
      <c r="T44" s="3"/>
      <c r="U44" s="3"/>
    </row>
    <row r="45" spans="1:21" ht="15.75" thickBot="1" x14ac:dyDescent="0.3">
      <c r="R45" s="3"/>
      <c r="S45" s="3"/>
      <c r="T45" s="3"/>
      <c r="U45" s="3"/>
    </row>
    <row r="46" spans="1:21" ht="15.75" thickBot="1" x14ac:dyDescent="0.3">
      <c r="R46" s="3"/>
      <c r="S46" s="3"/>
      <c r="T46" s="3"/>
      <c r="U46" s="3"/>
    </row>
  </sheetData>
  <sortState xmlns:xlrd2="http://schemas.microsoft.com/office/spreadsheetml/2017/richdata2" ref="B7:X10">
    <sortCondition ref="B6:B10"/>
  </sortState>
  <mergeCells count="28">
    <mergeCell ref="V4:V5"/>
    <mergeCell ref="W4:W5"/>
    <mergeCell ref="X4:X5"/>
    <mergeCell ref="A1:Q1"/>
    <mergeCell ref="A2:A5"/>
    <mergeCell ref="B2:G2"/>
    <mergeCell ref="H2:Q2"/>
    <mergeCell ref="M4:M5"/>
    <mergeCell ref="B4:B5"/>
    <mergeCell ref="C4:C5"/>
    <mergeCell ref="D4:D5"/>
    <mergeCell ref="E4:E5"/>
    <mergeCell ref="F4:F5"/>
    <mergeCell ref="G4:G5"/>
    <mergeCell ref="H4:H5"/>
    <mergeCell ref="I4:I5"/>
    <mergeCell ref="U4:U5"/>
    <mergeCell ref="N4:N5"/>
    <mergeCell ref="O4:O5"/>
    <mergeCell ref="P4:P5"/>
    <mergeCell ref="Q4:Q5"/>
    <mergeCell ref="R4:R5"/>
    <mergeCell ref="S4:S5"/>
    <mergeCell ref="L13:L14"/>
    <mergeCell ref="J4:J5"/>
    <mergeCell ref="K4:K5"/>
    <mergeCell ref="L4:L5"/>
    <mergeCell ref="T4:T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lxve_every1</dc:creator>
  <cp:lastModifiedBy>lxve_every1</cp:lastModifiedBy>
  <dcterms:created xsi:type="dcterms:W3CDTF">2023-03-12T08:38:30Z</dcterms:created>
  <dcterms:modified xsi:type="dcterms:W3CDTF">2023-04-23T13:24:03Z</dcterms:modified>
</cp:coreProperties>
</file>