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Doctoral_research\"/>
    </mc:Choice>
  </mc:AlternateContent>
  <xr:revisionPtr revIDLastSave="0" documentId="13_ncr:1_{4A3E7FE4-3375-4CF3-ADA2-DDB208912B16}" xr6:coauthVersionLast="36" xr6:coauthVersionMax="36" xr10:uidLastSave="{00000000-0000-0000-0000-000000000000}"/>
  <bookViews>
    <workbookView xWindow="0" yWindow="0" windowWidth="21210" windowHeight="12645" tabRatio="896" xr2:uid="{00000000-000D-0000-FFFF-FFFF00000000}"/>
  </bookViews>
  <sheets>
    <sheet name="吉布斯自由能汇总" sheetId="32" r:id="rId1"/>
    <sheet name="catmap数据集" sheetId="29" r:id="rId2"/>
    <sheet name="排序" sheetId="24" r:id="rId3"/>
    <sheet name="Ti-In" sheetId="25" r:id="rId4"/>
    <sheet name="测试" sheetId="1" r:id="rId5"/>
    <sheet name="Ti-Re" sheetId="8" r:id="rId6"/>
    <sheet name="Ti-Cr" sheetId="14" r:id="rId7"/>
    <sheet name="Ti-Mn" sheetId="9" r:id="rId8"/>
    <sheet name="Ti-Hf" sheetId="12" r:id="rId9"/>
    <sheet name="单核ti" sheetId="26" r:id="rId10"/>
    <sheet name="Ti-Nb" sheetId="6" r:id="rId11"/>
    <sheet name="Ti-Zr" sheetId="2" r:id="rId12"/>
    <sheet name="Ti-Fe" sheetId="21" r:id="rId13"/>
    <sheet name="Ti-W" sheetId="7" r:id="rId14"/>
    <sheet name="Ti-Mo" sheetId="5" r:id="rId15"/>
    <sheet name="Ti-Co" sheetId="3" r:id="rId16"/>
    <sheet name="Ti-Ti" sheetId="23" r:id="rId17"/>
    <sheet name="Ti-V" sheetId="4" r:id="rId18"/>
    <sheet name="Ti-La" sheetId="15" r:id="rId19"/>
    <sheet name="Ti-Ge" sheetId="16" r:id="rId20"/>
    <sheet name="Ti-Ga" sheetId="17" r:id="rId21"/>
    <sheet name="Ti-Zn" sheetId="20" r:id="rId22"/>
    <sheet name="Ti-B" sheetId="18" r:id="rId23"/>
    <sheet name="Ti-Al" sheetId="19" r:id="rId24"/>
    <sheet name="Ti-Ni" sheetId="13" r:id="rId25"/>
    <sheet name="Ti-Ta" sheetId="10" r:id="rId26"/>
    <sheet name="Ti-Cu" sheetId="11" r:id="rId2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0" i="29" l="1"/>
  <c r="AT24" i="29"/>
  <c r="CX28" i="32"/>
  <c r="CX18" i="32"/>
  <c r="AL28" i="32"/>
  <c r="AL16" i="32"/>
  <c r="AK20" i="29"/>
  <c r="G28" i="32"/>
  <c r="G15" i="32"/>
  <c r="O28" i="32"/>
  <c r="O15" i="32"/>
  <c r="W16" i="32" l="1"/>
  <c r="W28" i="32"/>
  <c r="AD16" i="32"/>
  <c r="AD28" i="32"/>
  <c r="AS28" i="32"/>
  <c r="AS17" i="32"/>
  <c r="AZ28" i="32"/>
  <c r="AZ17" i="32"/>
  <c r="BG28" i="32"/>
  <c r="BG16" i="32"/>
  <c r="BN28" i="32"/>
  <c r="BN16" i="32"/>
  <c r="DF43" i="29" l="1"/>
  <c r="DE28" i="32"/>
  <c r="DE16" i="32"/>
  <c r="DE20" i="29"/>
  <c r="DE43" i="29"/>
  <c r="AD51" i="29" l="1"/>
  <c r="AC51" i="29"/>
  <c r="BN51" i="29"/>
  <c r="BM51" i="29"/>
  <c r="DE51" i="29" l="1"/>
  <c r="DD51" i="29"/>
  <c r="CX51" i="29"/>
  <c r="CW51" i="29"/>
  <c r="CQ51" i="29"/>
  <c r="CP51" i="29"/>
  <c r="CI51" i="29"/>
  <c r="CH51" i="29"/>
  <c r="CB51" i="29"/>
  <c r="CA51" i="29"/>
  <c r="BU51" i="29"/>
  <c r="BT51" i="29"/>
  <c r="BG51" i="29"/>
  <c r="BF51" i="29"/>
  <c r="AZ51" i="29"/>
  <c r="AY51" i="29"/>
  <c r="AS51" i="29"/>
  <c r="AR51" i="29"/>
  <c r="AL51" i="29"/>
  <c r="AK51" i="29"/>
  <c r="W51" i="29"/>
  <c r="V51" i="29"/>
  <c r="O51" i="29"/>
  <c r="N51" i="29"/>
  <c r="G51" i="29"/>
  <c r="F51" i="29"/>
  <c r="AL43" i="29" l="1"/>
  <c r="AK43" i="29"/>
  <c r="CQ43" i="29"/>
  <c r="F5" i="32"/>
  <c r="O4" i="29"/>
  <c r="G12" i="29"/>
  <c r="G8" i="29"/>
  <c r="AK12" i="32"/>
  <c r="AJ12" i="32"/>
  <c r="AK33" i="32"/>
  <c r="AK36" i="32"/>
  <c r="AJ36" i="32"/>
  <c r="F27" i="6"/>
  <c r="F21" i="6"/>
  <c r="AD47" i="29"/>
  <c r="AC47" i="29"/>
  <c r="DE47" i="29"/>
  <c r="DD47" i="29"/>
  <c r="CQ47" i="29"/>
  <c r="CP47" i="29"/>
  <c r="AC28" i="32" l="1"/>
  <c r="AB28" i="32"/>
  <c r="F27" i="8" l="1"/>
  <c r="BF28" i="32"/>
  <c r="BE28" i="32"/>
  <c r="BF24" i="32"/>
  <c r="BE24" i="32"/>
  <c r="CX47" i="29" l="1"/>
  <c r="CW47" i="29"/>
  <c r="CI47" i="29"/>
  <c r="CB47" i="29"/>
  <c r="BU47" i="29"/>
  <c r="BN47" i="29"/>
  <c r="BM47" i="29"/>
  <c r="BG47" i="29"/>
  <c r="AZ47" i="29"/>
  <c r="AS47" i="29"/>
  <c r="AL39" i="29"/>
  <c r="AK39" i="29"/>
  <c r="AL34" i="29"/>
  <c r="AK34" i="29"/>
  <c r="AL47" i="29"/>
  <c r="G47" i="29"/>
  <c r="F47" i="29"/>
  <c r="AL29" i="29" l="1"/>
  <c r="AK29" i="29"/>
  <c r="AL24" i="29"/>
  <c r="AK24" i="29"/>
  <c r="AL16" i="29"/>
  <c r="AL12" i="29"/>
  <c r="AK16" i="29"/>
  <c r="AK12" i="29"/>
  <c r="AL4" i="29"/>
  <c r="AK4" i="29"/>
  <c r="CH47" i="29"/>
  <c r="CA47" i="29"/>
  <c r="BT47" i="29"/>
  <c r="BF47" i="29"/>
  <c r="AY47" i="29"/>
  <c r="AR47" i="29"/>
  <c r="AK47" i="29"/>
  <c r="V47" i="29"/>
  <c r="N47" i="29"/>
  <c r="AC24" i="32" l="1"/>
  <c r="AB24" i="32"/>
  <c r="N28" i="32"/>
  <c r="M28" i="32"/>
  <c r="CP28" i="32"/>
  <c r="CP24" i="32"/>
  <c r="CO28" i="32"/>
  <c r="CO24" i="32"/>
  <c r="CI24" i="32"/>
  <c r="CH24" i="32"/>
  <c r="F4" i="32"/>
  <c r="N4" i="32"/>
  <c r="V4" i="32"/>
  <c r="AC4" i="32"/>
  <c r="AK4" i="32"/>
  <c r="AR4" i="32"/>
  <c r="AY4" i="32"/>
  <c r="BF4" i="32"/>
  <c r="BM4" i="32"/>
  <c r="BT4" i="32"/>
  <c r="CA4" i="32"/>
  <c r="CI4" i="32"/>
  <c r="CP4" i="32"/>
  <c r="CW4" i="32"/>
  <c r="DD4" i="32"/>
  <c r="F8" i="32"/>
  <c r="B67" i="32" s="1"/>
  <c r="N8" i="32"/>
  <c r="V8" i="32"/>
  <c r="AC8" i="32"/>
  <c r="AK8" i="32"/>
  <c r="AR8" i="32"/>
  <c r="AY8" i="32"/>
  <c r="BF8" i="32"/>
  <c r="BM8" i="32"/>
  <c r="BT8" i="32"/>
  <c r="CA8" i="32"/>
  <c r="CI8" i="32"/>
  <c r="CP8" i="32"/>
  <c r="B79" i="32" s="1"/>
  <c r="CW8" i="32"/>
  <c r="DD8" i="32"/>
  <c r="F12" i="32"/>
  <c r="N12" i="32"/>
  <c r="N13" i="32" s="1"/>
  <c r="V12" i="32"/>
  <c r="V13" i="32" s="1"/>
  <c r="AC12" i="32"/>
  <c r="AC13" i="32" s="1"/>
  <c r="AR12" i="32"/>
  <c r="AR13" i="32" s="1"/>
  <c r="AY12" i="32"/>
  <c r="BF12" i="32"/>
  <c r="BM12" i="32"/>
  <c r="BT12" i="32"/>
  <c r="CA12" i="32"/>
  <c r="CI12" i="32"/>
  <c r="CP12" i="32"/>
  <c r="CW12" i="32"/>
  <c r="DD12" i="32"/>
  <c r="AK13" i="32"/>
  <c r="AY13" i="32"/>
  <c r="BF13" i="32"/>
  <c r="BM13" i="32"/>
  <c r="BT13" i="32"/>
  <c r="CA13" i="32"/>
  <c r="CI13" i="32"/>
  <c r="CP13" i="32"/>
  <c r="CW13" i="32"/>
  <c r="DD13" i="32"/>
  <c r="F16" i="32"/>
  <c r="N16" i="32"/>
  <c r="N17" i="32" s="1"/>
  <c r="V16" i="32"/>
  <c r="V17" i="32" s="1"/>
  <c r="AC16" i="32"/>
  <c r="AC17" i="32" s="1"/>
  <c r="AK16" i="32"/>
  <c r="AR16" i="32"/>
  <c r="AY16" i="32"/>
  <c r="BF16" i="32"/>
  <c r="BM16" i="32"/>
  <c r="BT16" i="32"/>
  <c r="CA16" i="32"/>
  <c r="CI16" i="32"/>
  <c r="CP16" i="32"/>
  <c r="CW16" i="32"/>
  <c r="DD16" i="32"/>
  <c r="AK17" i="32"/>
  <c r="AR17" i="32"/>
  <c r="AY17" i="32"/>
  <c r="BF17" i="32"/>
  <c r="BM17" i="32"/>
  <c r="BT17" i="32"/>
  <c r="CA17" i="32"/>
  <c r="CI17" i="32"/>
  <c r="CP17" i="32"/>
  <c r="CQ17" i="32"/>
  <c r="CW17" i="32"/>
  <c r="DD17" i="32"/>
  <c r="F20" i="32"/>
  <c r="N20" i="32"/>
  <c r="N21" i="32" s="1"/>
  <c r="V20" i="32"/>
  <c r="V21" i="32" s="1"/>
  <c r="AC20" i="32"/>
  <c r="AC21" i="32" s="1"/>
  <c r="AK20" i="32"/>
  <c r="AK21" i="32" s="1"/>
  <c r="AR20" i="32"/>
  <c r="AY20" i="32"/>
  <c r="AY21" i="32" s="1"/>
  <c r="BF20" i="32"/>
  <c r="BM20" i="32"/>
  <c r="BT20" i="32"/>
  <c r="CA20" i="32"/>
  <c r="CI20" i="32"/>
  <c r="CP20" i="32"/>
  <c r="CW20" i="32"/>
  <c r="DD20" i="32"/>
  <c r="AR21" i="32"/>
  <c r="BF21" i="32"/>
  <c r="BM21" i="32"/>
  <c r="BT21" i="32"/>
  <c r="CA21" i="32"/>
  <c r="CI21" i="32"/>
  <c r="CP21" i="32"/>
  <c r="CW21" i="32"/>
  <c r="DD21" i="32"/>
  <c r="E24" i="32"/>
  <c r="F24" i="32"/>
  <c r="M24" i="32"/>
  <c r="N24" i="32"/>
  <c r="U24" i="32"/>
  <c r="V24" i="32" s="1"/>
  <c r="AJ24" i="32"/>
  <c r="AK24" i="32"/>
  <c r="AQ24" i="32"/>
  <c r="AR24" i="32" s="1"/>
  <c r="AX24" i="32"/>
  <c r="AY24" i="32" s="1"/>
  <c r="BL24" i="32"/>
  <c r="BM24" i="32"/>
  <c r="BS24" i="32"/>
  <c r="BT24" i="32"/>
  <c r="BZ24" i="32"/>
  <c r="CA24" i="32"/>
  <c r="CV24" i="32"/>
  <c r="CW24" i="32"/>
  <c r="DC24" i="32"/>
  <c r="DD24" i="32"/>
  <c r="E28" i="32"/>
  <c r="F28" i="32"/>
  <c r="U28" i="32"/>
  <c r="V28" i="32"/>
  <c r="AJ28" i="32"/>
  <c r="AK28" i="32"/>
  <c r="AQ28" i="32"/>
  <c r="AR28" i="32"/>
  <c r="AX28" i="32"/>
  <c r="AY28" i="32"/>
  <c r="BL28" i="32"/>
  <c r="BM28" i="32" s="1"/>
  <c r="BS28" i="32"/>
  <c r="BT28" i="32" s="1"/>
  <c r="BZ28" i="32"/>
  <c r="CA28" i="32" s="1"/>
  <c r="CH28" i="32"/>
  <c r="CI28" i="32" s="1"/>
  <c r="CV28" i="32"/>
  <c r="CW28" i="32" s="1"/>
  <c r="DC28" i="32"/>
  <c r="DD28" i="32" s="1"/>
  <c r="F32" i="32"/>
  <c r="N32" i="32"/>
  <c r="V32" i="32"/>
  <c r="AC32" i="32"/>
  <c r="AK32" i="32"/>
  <c r="AR32" i="32"/>
  <c r="AY32" i="32"/>
  <c r="BF32" i="32"/>
  <c r="BM32" i="32"/>
  <c r="BT32" i="32"/>
  <c r="CA32" i="32"/>
  <c r="CA33" i="32" s="1"/>
  <c r="CI32" i="32"/>
  <c r="CP32" i="32"/>
  <c r="CP33" i="32" s="1"/>
  <c r="CW32" i="32"/>
  <c r="CW33" i="32" s="1"/>
  <c r="DD32" i="32"/>
  <c r="DD33" i="32" s="1"/>
  <c r="F33" i="32"/>
  <c r="N33" i="32"/>
  <c r="V33" i="32"/>
  <c r="AC33" i="32"/>
  <c r="AR33" i="32"/>
  <c r="AY33" i="32"/>
  <c r="BF33" i="32"/>
  <c r="BM33" i="32"/>
  <c r="BT33" i="32"/>
  <c r="CI33" i="32"/>
  <c r="E36" i="32"/>
  <c r="F36" i="32" s="1"/>
  <c r="F37" i="32" s="1"/>
  <c r="M36" i="32"/>
  <c r="N36" i="32"/>
  <c r="U36" i="32"/>
  <c r="V36" i="32"/>
  <c r="AB36" i="32"/>
  <c r="AC36" i="32"/>
  <c r="AQ36" i="32"/>
  <c r="AR36" i="32"/>
  <c r="AX36" i="32"/>
  <c r="AY36" i="32"/>
  <c r="BE36" i="32"/>
  <c r="BF36" i="32"/>
  <c r="BL36" i="32"/>
  <c r="BM36" i="32"/>
  <c r="BS36" i="32"/>
  <c r="BT36" i="32"/>
  <c r="BZ36" i="32"/>
  <c r="CA36" i="32"/>
  <c r="CH36" i="32"/>
  <c r="CI36" i="32"/>
  <c r="CV36" i="32"/>
  <c r="CW36" i="32" s="1"/>
  <c r="DC36" i="32"/>
  <c r="DD36" i="32" s="1"/>
  <c r="N37" i="32"/>
  <c r="F41" i="32"/>
  <c r="N41" i="32"/>
  <c r="V41" i="32"/>
  <c r="AC41" i="32"/>
  <c r="AK41" i="32"/>
  <c r="AR41" i="32"/>
  <c r="AY41" i="32"/>
  <c r="BF41" i="32"/>
  <c r="BM41" i="32"/>
  <c r="BT41" i="32"/>
  <c r="CA41" i="32"/>
  <c r="CI41" i="32"/>
  <c r="CP41" i="32"/>
  <c r="CW41" i="32"/>
  <c r="DD41" i="32"/>
  <c r="CP42" i="32"/>
  <c r="C52" i="32"/>
  <c r="D52" i="32" s="1"/>
  <c r="B57" i="32"/>
  <c r="F57" i="32" s="1"/>
  <c r="B58" i="32"/>
  <c r="F58" i="32" s="1"/>
  <c r="B59" i="32"/>
  <c r="F59" i="32" s="1"/>
  <c r="B60" i="32"/>
  <c r="F60" i="32"/>
  <c r="E61" i="32"/>
  <c r="F61" i="32"/>
  <c r="B72" i="32" s="1"/>
  <c r="N67" i="32"/>
  <c r="P67" i="32"/>
  <c r="R67" i="32"/>
  <c r="B68" i="32"/>
  <c r="N68" i="32"/>
  <c r="P68" i="32"/>
  <c r="R68" i="32"/>
  <c r="B69" i="32"/>
  <c r="N69" i="32"/>
  <c r="P69" i="32"/>
  <c r="R69" i="32"/>
  <c r="B70" i="32"/>
  <c r="N70" i="32"/>
  <c r="P70" i="32"/>
  <c r="R70" i="32"/>
  <c r="B71" i="32"/>
  <c r="N71" i="32"/>
  <c r="P71" i="32"/>
  <c r="R71" i="32"/>
  <c r="N72" i="32"/>
  <c r="P72" i="32"/>
  <c r="R72" i="32"/>
  <c r="N73" i="32"/>
  <c r="P73" i="32"/>
  <c r="R73" i="32"/>
  <c r="B74" i="32"/>
  <c r="N74" i="32"/>
  <c r="P74" i="32"/>
  <c r="R74" i="32"/>
  <c r="B75" i="32"/>
  <c r="N75" i="32"/>
  <c r="P75" i="32"/>
  <c r="R75" i="32"/>
  <c r="B76" i="32"/>
  <c r="N76" i="32"/>
  <c r="P76" i="32"/>
  <c r="R76" i="32"/>
  <c r="B77" i="32"/>
  <c r="N77" i="32"/>
  <c r="P77" i="32"/>
  <c r="R77" i="32"/>
  <c r="B78" i="32"/>
  <c r="N78" i="32"/>
  <c r="P78" i="32"/>
  <c r="R78" i="32"/>
  <c r="N79" i="32"/>
  <c r="P79" i="32"/>
  <c r="R79" i="32"/>
  <c r="B80" i="32"/>
  <c r="N80" i="32"/>
  <c r="R80" i="32"/>
  <c r="B81" i="32"/>
  <c r="N81" i="32"/>
  <c r="P81" i="32"/>
  <c r="R81" i="32"/>
  <c r="F27" i="14"/>
  <c r="CA9" i="32" l="1"/>
  <c r="DD9" i="32"/>
  <c r="AK9" i="32"/>
  <c r="C71" i="32" s="1"/>
  <c r="BF9" i="32"/>
  <c r="AR9" i="32"/>
  <c r="AY9" i="32"/>
  <c r="C73" i="32" s="1"/>
  <c r="BT9" i="32"/>
  <c r="C76" i="32" s="1"/>
  <c r="CI9" i="32"/>
  <c r="V9" i="32"/>
  <c r="C69" i="32" s="1"/>
  <c r="BF5" i="32"/>
  <c r="CW9" i="32"/>
  <c r="CI5" i="32"/>
  <c r="CP9" i="32"/>
  <c r="BM9" i="32"/>
  <c r="C75" i="32" s="1"/>
  <c r="C81" i="32"/>
  <c r="C79" i="32"/>
  <c r="C74" i="32"/>
  <c r="C80" i="32"/>
  <c r="AC9" i="32"/>
  <c r="C70" i="32" s="1"/>
  <c r="C77" i="32"/>
  <c r="C72" i="32"/>
  <c r="C78" i="32"/>
  <c r="AY5" i="32"/>
  <c r="CA5" i="32"/>
  <c r="AC5" i="32"/>
  <c r="AK5" i="32"/>
  <c r="AR5" i="32"/>
  <c r="BM5" i="32"/>
  <c r="V5" i="32"/>
  <c r="BT5" i="32"/>
  <c r="CW5" i="32"/>
  <c r="DD5" i="32"/>
  <c r="CP5" i="32"/>
  <c r="N9" i="32"/>
  <c r="F42" i="32"/>
  <c r="N5" i="32"/>
  <c r="BF42" i="32"/>
  <c r="AC42" i="32"/>
  <c r="BT42" i="32"/>
  <c r="AK42" i="32"/>
  <c r="N42" i="32"/>
  <c r="V42" i="32"/>
  <c r="AR42" i="32"/>
  <c r="CW42" i="32"/>
  <c r="DD42" i="32"/>
  <c r="BM42" i="32"/>
  <c r="CI42" i="32"/>
  <c r="AY42" i="32"/>
  <c r="CA42" i="32"/>
  <c r="F9" i="32"/>
  <c r="C67" i="32" s="1"/>
  <c r="B73" i="32"/>
  <c r="C68" i="32"/>
  <c r="F25" i="2"/>
  <c r="F15" i="12" l="1"/>
  <c r="F26" i="26"/>
  <c r="AC24" i="29" l="1"/>
  <c r="F26" i="21"/>
  <c r="F24" i="21"/>
  <c r="L3" i="24"/>
  <c r="CP39" i="29"/>
  <c r="CP34" i="29"/>
  <c r="CP29" i="29"/>
  <c r="AD43" i="29"/>
  <c r="AC43" i="29"/>
  <c r="CP24" i="29" l="1"/>
  <c r="BM34" i="29"/>
  <c r="F22" i="21"/>
  <c r="F23" i="2"/>
  <c r="AZ4" i="29"/>
  <c r="AL8" i="29"/>
  <c r="AK8" i="29"/>
  <c r="F20" i="26"/>
  <c r="F20" i="9"/>
  <c r="F23" i="3" l="1"/>
  <c r="F19" i="13"/>
  <c r="BM39" i="29"/>
  <c r="BM29" i="29"/>
  <c r="BM24" i="29"/>
  <c r="BM20" i="29"/>
  <c r="CP20" i="29"/>
  <c r="BM4" i="29"/>
  <c r="L4" i="24" l="1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CP4" i="29" l="1"/>
  <c r="CP8" i="29"/>
  <c r="F34" i="7"/>
  <c r="G21" i="5" l="1"/>
  <c r="F18" i="26"/>
  <c r="F19" i="21" l="1"/>
  <c r="DD43" i="29"/>
  <c r="CW43" i="29"/>
  <c r="CP43" i="29"/>
  <c r="CH43" i="29"/>
  <c r="CA43" i="29"/>
  <c r="BT43" i="29"/>
  <c r="BM43" i="29"/>
  <c r="AS43" i="29"/>
  <c r="AR43" i="29"/>
  <c r="DE39" i="29"/>
  <c r="DE34" i="29"/>
  <c r="DE29" i="29"/>
  <c r="DE24" i="29"/>
  <c r="DE16" i="29"/>
  <c r="DE12" i="29"/>
  <c r="DE8" i="29"/>
  <c r="DE4" i="29"/>
  <c r="CX43" i="29"/>
  <c r="CX39" i="29"/>
  <c r="CX34" i="29"/>
  <c r="CX29" i="29"/>
  <c r="CX24" i="29"/>
  <c r="CX20" i="29"/>
  <c r="CX16" i="29"/>
  <c r="CX12" i="29"/>
  <c r="CX8" i="29"/>
  <c r="CX4" i="29"/>
  <c r="CQ39" i="29"/>
  <c r="CQ34" i="29"/>
  <c r="CQ29" i="29"/>
  <c r="CQ24" i="29"/>
  <c r="CQ20" i="29"/>
  <c r="CQ16" i="29"/>
  <c r="CQ12" i="29"/>
  <c r="CQ8" i="29"/>
  <c r="CQ4" i="29"/>
  <c r="CI43" i="29"/>
  <c r="CI39" i="29"/>
  <c r="CI34" i="29"/>
  <c r="CI29" i="29"/>
  <c r="CI24" i="29"/>
  <c r="CI20" i="29"/>
  <c r="CI16" i="29"/>
  <c r="CI12" i="29"/>
  <c r="CI8" i="29"/>
  <c r="CI4" i="29"/>
  <c r="CB43" i="29"/>
  <c r="CB39" i="29"/>
  <c r="CB34" i="29"/>
  <c r="CB29" i="29"/>
  <c r="CB24" i="29"/>
  <c r="CB20" i="29"/>
  <c r="CB16" i="29"/>
  <c r="CB12" i="29"/>
  <c r="CB8" i="29"/>
  <c r="CB4" i="29"/>
  <c r="BU43" i="29"/>
  <c r="BU39" i="29"/>
  <c r="BU34" i="29"/>
  <c r="BU29" i="29"/>
  <c r="BU24" i="29"/>
  <c r="BU20" i="29"/>
  <c r="BU16" i="29"/>
  <c r="BU12" i="29"/>
  <c r="BU8" i="29"/>
  <c r="BU4" i="29"/>
  <c r="BN43" i="29"/>
  <c r="BN39" i="29"/>
  <c r="BN34" i="29"/>
  <c r="BN29" i="29"/>
  <c r="BN24" i="29"/>
  <c r="BN20" i="29"/>
  <c r="BN16" i="29"/>
  <c r="BN12" i="29"/>
  <c r="BN8" i="29"/>
  <c r="BN4" i="29"/>
  <c r="BG43" i="29"/>
  <c r="BG39" i="29"/>
  <c r="BG34" i="29"/>
  <c r="BG29" i="29"/>
  <c r="BG24" i="29"/>
  <c r="BG20" i="29"/>
  <c r="BG16" i="29"/>
  <c r="BG12" i="29"/>
  <c r="BG8" i="29"/>
  <c r="BG4" i="29"/>
  <c r="AZ43" i="29"/>
  <c r="AZ39" i="29"/>
  <c r="AZ34" i="29"/>
  <c r="AZ29" i="29"/>
  <c r="AZ24" i="29"/>
  <c r="AZ20" i="29"/>
  <c r="AZ16" i="29"/>
  <c r="AZ12" i="29"/>
  <c r="AZ8" i="29"/>
  <c r="CP16" i="29" l="1"/>
  <c r="N16" i="29"/>
  <c r="F29" i="10"/>
  <c r="BF43" i="29"/>
  <c r="AY43" i="29"/>
  <c r="G43" i="29"/>
  <c r="F43" i="29"/>
  <c r="V43" i="29"/>
  <c r="N43" i="29"/>
  <c r="DD29" i="29" l="1"/>
  <c r="DD24" i="29"/>
  <c r="DD39" i="29"/>
  <c r="DD34" i="29"/>
  <c r="N34" i="29"/>
  <c r="DD20" i="29" l="1"/>
  <c r="DD16" i="29"/>
  <c r="DD12" i="29"/>
  <c r="DD8" i="29"/>
  <c r="DD4" i="29"/>
  <c r="AR39" i="29"/>
  <c r="AS39" i="29" s="1"/>
  <c r="AR34" i="29"/>
  <c r="AS34" i="29" s="1"/>
  <c r="AR29" i="29"/>
  <c r="AR24" i="29"/>
  <c r="AR20" i="29"/>
  <c r="AR4" i="29"/>
  <c r="V8" i="29"/>
  <c r="W8" i="29" s="1"/>
  <c r="AS29" i="29"/>
  <c r="AS24" i="29"/>
  <c r="AS20" i="29"/>
  <c r="AS16" i="29"/>
  <c r="AS4" i="29"/>
  <c r="AD24" i="29"/>
  <c r="W47" i="29"/>
  <c r="W43" i="29"/>
  <c r="O47" i="29"/>
  <c r="O43" i="29"/>
  <c r="O34" i="29"/>
  <c r="O16" i="29"/>
  <c r="BF20" i="29"/>
  <c r="BF24" i="29"/>
  <c r="BF29" i="29"/>
  <c r="BF34" i="29"/>
  <c r="BF39" i="29"/>
  <c r="CA39" i="29"/>
  <c r="CA4" i="29"/>
  <c r="CA8" i="29"/>
  <c r="CA12" i="29"/>
  <c r="CA34" i="29"/>
  <c r="CH39" i="29"/>
  <c r="CH34" i="29"/>
  <c r="CH29" i="29"/>
  <c r="CH24" i="29"/>
  <c r="CH20" i="29"/>
  <c r="CH16" i="29"/>
  <c r="CH12" i="29"/>
  <c r="CH8" i="29"/>
  <c r="CH4" i="29"/>
  <c r="CP12" i="29" l="1"/>
  <c r="CW39" i="29"/>
  <c r="CW34" i="29"/>
  <c r="CW29" i="29"/>
  <c r="CW24" i="29"/>
  <c r="CW20" i="29"/>
  <c r="CW16" i="29"/>
  <c r="CW12" i="29"/>
  <c r="CW8" i="29"/>
  <c r="CW4" i="29"/>
  <c r="CA29" i="29"/>
  <c r="CA24" i="29"/>
  <c r="CA20" i="29"/>
  <c r="CA16" i="29"/>
  <c r="BM16" i="29"/>
  <c r="BM12" i="29"/>
  <c r="BM8" i="29"/>
  <c r="AR12" i="29"/>
  <c r="AS12" i="29" s="1"/>
  <c r="AR8" i="29"/>
  <c r="AS8" i="29" s="1"/>
  <c r="N39" i="29"/>
  <c r="O39" i="29" s="1"/>
  <c r="N29" i="29"/>
  <c r="O29" i="29" s="1"/>
  <c r="N24" i="29"/>
  <c r="O24" i="29" s="1"/>
  <c r="N20" i="29"/>
  <c r="O20" i="29" s="1"/>
  <c r="BF16" i="29" l="1"/>
  <c r="BF12" i="29"/>
  <c r="BF8" i="29"/>
  <c r="BF4" i="29"/>
  <c r="AC12" i="29"/>
  <c r="AD12" i="29" s="1"/>
  <c r="AC8" i="29"/>
  <c r="AD8" i="29" s="1"/>
  <c r="V39" i="29"/>
  <c r="W39" i="29" s="1"/>
  <c r="V34" i="29"/>
  <c r="W34" i="29" s="1"/>
  <c r="V29" i="29"/>
  <c r="W29" i="29" s="1"/>
  <c r="V24" i="29"/>
  <c r="W24" i="29" s="1"/>
  <c r="V20" i="29"/>
  <c r="W20" i="29" s="1"/>
  <c r="V16" i="29"/>
  <c r="W16" i="29" s="1"/>
  <c r="V12" i="29"/>
  <c r="W12" i="29" s="1"/>
  <c r="V4" i="29"/>
  <c r="W4" i="29" s="1"/>
  <c r="N12" i="29"/>
  <c r="O12" i="29" s="1"/>
  <c r="N8" i="29"/>
  <c r="O8" i="29" s="1"/>
  <c r="N4" i="29"/>
  <c r="F39" i="29"/>
  <c r="G39" i="29" s="1"/>
  <c r="F34" i="29"/>
  <c r="G34" i="29" s="1"/>
  <c r="F29" i="29"/>
  <c r="G29" i="29" s="1"/>
  <c r="F24" i="29"/>
  <c r="G24" i="29" s="1"/>
  <c r="F20" i="29"/>
  <c r="G20" i="29" s="1"/>
  <c r="F16" i="29"/>
  <c r="G16" i="29" s="1"/>
  <c r="F12" i="29"/>
  <c r="F8" i="29"/>
  <c r="F4" i="29"/>
  <c r="G4" i="29" s="1"/>
  <c r="AC4" i="29" l="1"/>
  <c r="AD4" i="29" s="1"/>
  <c r="F7" i="10"/>
  <c r="F20" i="7" l="1"/>
  <c r="F11" i="3"/>
  <c r="G14" i="5"/>
  <c r="F8" i="2"/>
  <c r="AC34" i="29"/>
  <c r="AD34" i="29" s="1"/>
  <c r="AC39" i="29"/>
  <c r="AD39" i="29" s="1"/>
  <c r="AC29" i="29"/>
  <c r="AD29" i="29" s="1"/>
  <c r="AC20" i="29"/>
  <c r="AD20" i="29" s="1"/>
  <c r="AC16" i="29"/>
  <c r="AD16" i="29" s="1"/>
  <c r="AY34" i="29" l="1"/>
  <c r="AY12" i="29"/>
  <c r="BT12" i="29"/>
  <c r="AY39" i="29"/>
  <c r="AY29" i="29"/>
  <c r="AY24" i="29"/>
  <c r="AY20" i="29"/>
  <c r="AY16" i="29"/>
  <c r="AY8" i="29"/>
  <c r="AY4" i="29"/>
  <c r="BT29" i="29"/>
  <c r="BT20" i="29"/>
  <c r="BT39" i="29"/>
  <c r="BT34" i="29"/>
  <c r="BT24" i="29"/>
  <c r="BT16" i="29"/>
  <c r="BT8" i="29"/>
  <c r="BT4" i="29"/>
  <c r="F24" i="4"/>
  <c r="F32" i="6" l="1"/>
  <c r="F16" i="23" l="1"/>
  <c r="F16" i="14"/>
  <c r="E8" i="21" l="1"/>
  <c r="P31" i="1" l="1"/>
  <c r="P33" i="1"/>
  <c r="O35" i="1"/>
  <c r="F7" i="26" l="1"/>
  <c r="F13" i="14" l="1"/>
  <c r="F8" i="13"/>
  <c r="F8" i="23" l="1"/>
  <c r="F17" i="8" l="1"/>
  <c r="F9" i="12" l="1"/>
  <c r="F6" i="9"/>
  <c r="J58" i="1" l="1"/>
  <c r="P43" i="1" l="1"/>
  <c r="P45" i="1" s="1"/>
  <c r="P39" i="1"/>
  <c r="P41" i="1" s="1"/>
  <c r="P47" i="1"/>
  <c r="P49" i="1" s="1"/>
  <c r="P55" i="1"/>
  <c r="P51" i="1"/>
  <c r="P35" i="1"/>
  <c r="P36" i="1" s="1"/>
  <c r="P32" i="1" l="1"/>
  <c r="O36" i="1"/>
  <c r="P40" i="1"/>
  <c r="P44" i="1"/>
  <c r="P48" i="1"/>
  <c r="F9" i="4"/>
  <c r="P56" i="1" l="1"/>
  <c r="P53" i="1"/>
  <c r="P52" i="1"/>
  <c r="P57" i="1" l="1"/>
  <c r="P37" i="1" l="1"/>
  <c r="J30" i="1"/>
  <c r="J32" i="1"/>
  <c r="O51" i="1" l="1"/>
  <c r="O52" i="1" s="1"/>
  <c r="O47" i="1"/>
  <c r="O43" i="1"/>
  <c r="O39" i="1"/>
  <c r="O40" i="1" s="1"/>
  <c r="O55" i="1"/>
  <c r="O45" i="1" l="1"/>
  <c r="O44" i="1"/>
  <c r="O37" i="1"/>
  <c r="O57" i="1"/>
  <c r="O56" i="1"/>
  <c r="O53" i="1"/>
  <c r="O49" i="1"/>
  <c r="O48" i="1"/>
  <c r="O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liyaqian</author>
  </authors>
  <commentList>
    <comment ref="E12" authorId="0" shapeId="0" xr:uid="{4FFA6FC5-0495-4A9E-B186-7F6D12BCBFA4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B50" authorId="0" shapeId="0" xr:uid="{317B3520-4204-4F2C-A27B-FD9B96B173FD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E</t>
        </r>
      </text>
    </comment>
    <comment ref="L66" authorId="0" shapeId="0" xr:uid="{BDCB9979-4ED7-4E0D-9865-AFC470932890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吸附OOH前后需要对比？
镍的引入通过降低催化剂的d带中心
只比较单核和双核即可</t>
        </r>
      </text>
    </comment>
    <comment ref="M66" authorId="0" shapeId="0" xr:uid="{BC69F929-CAC7-45E7-B2BC-47B253A8E837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ti最外层12电子</t>
        </r>
      </text>
    </comment>
    <comment ref="Q66" authorId="0" shapeId="0" xr:uid="{FF81E90A-99E9-4286-9F1D-B3F4208136EC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6</t>
        </r>
      </text>
    </comment>
    <comment ref="E67" authorId="0" shapeId="0" xr:uid="{88C28E8A-C84E-447F-827B-FF6F1284A73D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99节点</t>
        </r>
      </text>
    </comment>
    <comment ref="O67" authorId="0" shapeId="0" xr:uid="{FBE3EDEF-5608-4E09-8662-9743789C4B75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8</t>
        </r>
      </text>
    </comment>
    <comment ref="O68" authorId="0" shapeId="0" xr:uid="{ED466CAD-8A77-4F1B-AF27-451A51C8A564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13</t>
        </r>
      </text>
    </comment>
    <comment ref="O69" authorId="0" shapeId="0" xr:uid="{694A5BA7-DD43-49E6-90F9-6B64DB8AE5FD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10</t>
        </r>
      </text>
    </comment>
    <comment ref="O70" authorId="0" shapeId="0" xr:uid="{73599E12-187D-4944-BA78-8F7A66E2BDC8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7</t>
        </r>
      </text>
    </comment>
    <comment ref="O71" authorId="0" shapeId="0" xr:uid="{F696B951-D3BA-480F-9D07-CFBC1532986D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13</t>
        </r>
      </text>
    </comment>
    <comment ref="O72" authorId="0" shapeId="0" xr:uid="{FD2D76DA-E5F2-440B-9DF8-9AA952213E2E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14</t>
        </r>
      </text>
    </comment>
    <comment ref="O73" authorId="0" shapeId="0" xr:uid="{29D0AF0B-B685-4610-8515-D6F253A8AB10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13</t>
        </r>
      </text>
    </comment>
    <comment ref="O74" authorId="0" shapeId="0" xr:uid="{A019DEB0-424D-4F24-B94E-5DB8519D7954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12</t>
        </r>
      </text>
    </comment>
    <comment ref="O75" authorId="0" shapeId="0" xr:uid="{71A211AD-28EA-4928-A95E-D9AEE0CE9EC3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9</t>
        </r>
      </text>
    </comment>
    <comment ref="O77" authorId="0" shapeId="0" xr:uid="{DCAEBFCC-BFE4-4EDA-B1C9-0C59588FCC9F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14</t>
        </r>
      </text>
    </comment>
    <comment ref="O78" authorId="0" shapeId="0" xr:uid="{213F8C2B-C314-46FC-AD16-A9F1520C996D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11</t>
        </r>
      </text>
    </comment>
    <comment ref="O79" authorId="0" shapeId="0" xr:uid="{C1E32E8C-F05E-429C-92DC-A6AB4FF96619}">
      <text>
        <r>
          <rPr>
            <b/>
            <sz val="9"/>
            <color indexed="81"/>
            <rFont val="宋体"/>
            <family val="3"/>
            <charset val="134"/>
          </rPr>
          <t>liyaqian
12</t>
        </r>
      </text>
    </comment>
    <comment ref="V80" authorId="0" shapeId="0" xr:uid="{B5F99068-57D8-4922-A1ED-CC7156A879FE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O57-Si95</t>
        </r>
      </text>
    </comment>
    <comment ref="O81" authorId="0" shapeId="0" xr:uid="{1F38055B-204D-4E71-9814-4932B03F0621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liyaqian</author>
  </authors>
  <commentList>
    <comment ref="F4" authorId="0" shapeId="0" xr:uid="{8FC599B1-037D-4F4C-B773-9873142578E4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N4" authorId="0" shapeId="0" xr:uid="{3AA5F47E-1523-4D42-8BCB-2F6BE985ED68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V4" authorId="0" shapeId="0" xr:uid="{76CF45B7-15FD-449B-9582-230793B4BBC9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AC4" authorId="0" shapeId="0" xr:uid="{0CC2B0EF-1DA5-46A6-AB0B-079CBAEBBD19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AK4" authorId="0" shapeId="0" xr:uid="{AFC05C85-C91A-48C4-A921-9BD1EA5CA89C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AR4" authorId="0" shapeId="0" xr:uid="{2950DFA6-7BC5-4272-B53A-352C90746D2D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AY4" authorId="0" shapeId="0" xr:uid="{6356C3BE-9996-40C2-ACF2-78055590AA9F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BF4" authorId="0" shapeId="0" xr:uid="{41FA539C-5B9E-4654-91DF-86D4310BF10F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BM4" authorId="0" shapeId="0" xr:uid="{CD3D6823-0C10-4703-BACE-13BE1A49C533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BT4" authorId="0" shapeId="0" xr:uid="{6C084A39-9027-4E4E-8DCC-F79AF29A0E95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CA4" authorId="0" shapeId="0" xr:uid="{EF3826E9-9816-493C-A370-19DFA9950B30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CH4" authorId="0" shapeId="0" xr:uid="{56CEC87F-4AFD-44A7-9925-599776A5D60E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CP4" authorId="0" shapeId="0" xr:uid="{4A8CD2DB-1903-45FB-9D51-0AC6292B14D2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CW4" authorId="0" shapeId="0" xr:uid="{99A98465-6633-403B-A057-E0EE6B684A82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DD4" authorId="0" shapeId="0" xr:uid="{B39D350F-7138-4493-9F66-356673FC2E96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有虚频 需要对OUTCAR操作 两个因素导致▲G很大</t>
        </r>
      </text>
    </comment>
    <comment ref="CL41" authorId="0" shapeId="0" xr:uid="{7D660EA7-2D5E-4574-BB0B-E1EDB0F8AE72}">
      <text>
        <r>
          <rPr>
            <b/>
            <sz val="9"/>
            <color indexed="81"/>
            <rFont val="宋体"/>
            <family val="3"/>
            <charset val="134"/>
          </rPr>
          <t>liyaqian: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<sst xmlns="http://schemas.openxmlformats.org/spreadsheetml/2006/main" count="3296" uniqueCount="911">
  <si>
    <t>/home/liyaqian/node01data/ts-1/mfi/si66o98h68</t>
  </si>
  <si>
    <t>测试</t>
    <phoneticPr fontId="1" type="noConversion"/>
  </si>
  <si>
    <t>/home/liyaqian/node01data/ts-1/mfi/si66o98h68/test1/pre-relaxation</t>
  </si>
  <si>
    <t>/home/liyaqian/node01data/ts-1/mfi/si66o98h68/test1/finishing</t>
  </si>
  <si>
    <t>不可行</t>
    <phoneticPr fontId="1" type="noConversion"/>
  </si>
  <si>
    <t>/home/liyaqian/node01data/ts-1/mfi/si66o98h68/test2</t>
  </si>
  <si>
    <t>mfi3</t>
    <phoneticPr fontId="1" type="noConversion"/>
  </si>
  <si>
    <t>mfi2</t>
    <phoneticPr fontId="1" type="noConversion"/>
  </si>
  <si>
    <t>/home/liyaqian/node01data/ts-1/mfi/si66o98h68/test4</t>
  </si>
  <si>
    <t>mfi4</t>
    <phoneticPr fontId="1" type="noConversion"/>
  </si>
  <si>
    <t>失败</t>
    <phoneticPr fontId="1" type="noConversion"/>
  </si>
  <si>
    <t>/home/liyaqian/node01data/ts-1/mfi/si66o98h68/test5</t>
  </si>
  <si>
    <t>mfi4-msopt</t>
    <phoneticPr fontId="1" type="noConversion"/>
  </si>
  <si>
    <t>/home/liyaqian/node01data/ts-1/mfi/si66o98h68/test5/tife</t>
  </si>
  <si>
    <t>/home/liyaqian/node01data/ts-1/mfi/si66o98h68/test5/fe-u-test/1Geo_opt</t>
  </si>
  <si>
    <t>/home/liyaqian/node01data/ts-1/mfi/si66o98h68/test5/fe-u-test/2Elec_self-consistency</t>
  </si>
  <si>
    <t>/home/liyaqian/node01data/ts-1/mfi/si66o98h68/test5/fe-u-test/3Linear_response</t>
  </si>
  <si>
    <t>wavecar 或者chgcar记得开</t>
    <phoneticPr fontId="1" type="noConversion"/>
  </si>
  <si>
    <t>U_eff = 2.122538 eV</t>
    <phoneticPr fontId="1" type="noConversion"/>
  </si>
  <si>
    <t>起码在4ev,似乎有问题</t>
    <phoneticPr fontId="1" type="noConversion"/>
  </si>
  <si>
    <t>/home/liyaqian/ts-1/mfi/si66o98h68/1-hexene</t>
  </si>
  <si>
    <t>无U值</t>
    <phoneticPr fontId="1" type="noConversion"/>
  </si>
  <si>
    <t>/home/liyaqian/node01data/ts-1/mfi/si66o98h68/h2o2</t>
  </si>
  <si>
    <t>/home/liyaqian/node01data/ts-1/mfi/si66o98h68/h2o2-ts/chu</t>
  </si>
  <si>
    <t>/home/liyaqian/node01data/ts-1/mfi/si66o98h68/h2o2-ts/mo</t>
  </si>
  <si>
    <t>/home/liyaqian/node01data/ts-1/mfi/si66o98h68/1,2-epoxyhexane</t>
  </si>
  <si>
    <t>/home/liyaqian/node01data/ts-1/mfi/si66o98h68/h2o2-ts/neb1-1</t>
  </si>
  <si>
    <t>/home/liyaqian/node01data/ts-1/mfi/si66o98h68/1-hex+ooh+h/chu</t>
  </si>
  <si>
    <t>/home/liyaqian/node01data/ts-1/mfi/si66o98h68/1-hex+ooh+h/mo</t>
  </si>
  <si>
    <t>/home/liyaqian/node01data/ts-1/mfi/si66o98h68/h2o2-ts/neb1-1/03/52-idm</t>
  </si>
  <si>
    <t>1329.295798 cm-1</t>
  </si>
  <si>
    <t>-</t>
    <phoneticPr fontId="1" type="noConversion"/>
  </si>
  <si>
    <t>/home/liyaqian/node01data/ts-1/mfi/si66o98h68/h2o2-ts/neb1-1/03/85-idm</t>
  </si>
  <si>
    <t>/home/liyaqian/node01data/ts-1/mfi/si66o98h68/1-hex+ooh+h/neb1-3/02</t>
    <phoneticPr fontId="1" type="noConversion"/>
  </si>
  <si>
    <t>/home/liyaqian/node01data/ts-1/mfi/si66o98h68/1-hex+ooh+h/7final</t>
  </si>
  <si>
    <t>/home/liyaqian/node01data/ts-1/mfi/si66o98h68/1-hex+ooh+h/6o+oh</t>
    <phoneticPr fontId="1" type="noConversion"/>
  </si>
  <si>
    <t>/home/liyaqian/node01data/H2O</t>
  </si>
  <si>
    <t>/home/liyaqian/node01data/ts-1/mfi/si66o98h68/1-hex+ooh+h/neb1-3/neb01-05</t>
  </si>
  <si>
    <t>/home/liyaqian/node01data/ts-1/mfi/si66o98h68/1-hex+ooh+h/neb1-3/neb01-05/ini1</t>
    <phoneticPr fontId="1" type="noConversion"/>
  </si>
  <si>
    <t>/home/liyaqian/node01data/ts-1/mfi/si66o98h68/1-hex+ooh+h/neb1-3/neb01-05/fin1</t>
    <phoneticPr fontId="1" type="noConversion"/>
  </si>
  <si>
    <t>/home/liyaqian/node01data/ts-1/mfi/si66o98h68/1-hex+ooh+h/test-neb01-05</t>
  </si>
  <si>
    <t>/home/liyaqian/node01data/ts-1/mfi/si66o98h68/1-hex+ooh+h/neb1-3/neb01-05/neb02-04</t>
  </si>
  <si>
    <t>/home/liyaqian/node01data/ts-1/mfi/si66o98h68/1-hex+ooh+h/neb1-3/neb01-05/neb02-04/02/27-idm</t>
  </si>
  <si>
    <t>/home/liyaqian/node01data/ts-1/mfi/si66o98h68/1-hex+ooh+h/neb1-3/neb01-05/neb02-04/02/27-idm/100-opt</t>
  </si>
  <si>
    <t>/home/liyaqian/node01data/ts-1/mfi/si66o98h68/1-hex+ooh+h/neb1-3/neb01-05/neb02-04/02/27-idm/503-opt</t>
  </si>
  <si>
    <t>不收敛</t>
    <phoneticPr fontId="1" type="noConversion"/>
  </si>
  <si>
    <t>/home/liyaqian/node01data/ts-1/mfi/si66o98h68/1-hex+ooh+h/neb1-3/neb01-05/neb02-04/02/27-dimer</t>
  </si>
  <si>
    <t>503cm-1</t>
    <phoneticPr fontId="1" type="noConversion"/>
  </si>
  <si>
    <t>/home/liyaqian/node01data/ts-1/mfi/si66o98h68/1-hex+ooh+h/neb1-3/neb01-05/neb02-04/02/27-dimer2</t>
  </si>
  <si>
    <t>/home/vasp/li/ts-1/27-dimer2</t>
  </si>
  <si>
    <t>100cm-1</t>
    <phoneticPr fontId="1" type="noConversion"/>
  </si>
  <si>
    <t>99节点</t>
    <phoneticPr fontId="1" type="noConversion"/>
  </si>
  <si>
    <t>/home/liyaqian/node01data/ts-1/mfi/si66o98h68/1-hex+ooh+h/chu2</t>
  </si>
  <si>
    <t>/home/liyaqian/node01data/ts-1/mfi/si66o98h68/1-hex+ooh+h/mo4</t>
  </si>
  <si>
    <t>/home/liyaqian/node01data/ts-1/mfi/si66o98h68/1-hex+ooh+h/chu3</t>
  </si>
  <si>
    <t>/home/liyaqian/node01data/ts-1/mfi/si66o98h68/1-hex+ooh+h/6o+oh_2</t>
    <phoneticPr fontId="1" type="noConversion"/>
  </si>
  <si>
    <t>/home/liyaqian/node01data/ts-1/mfi/si66o98h68/1-hex+ooh+h/7final_2</t>
  </si>
  <si>
    <t>/home/liyaqian/node01data/ts-1/mfi/tizr</t>
  </si>
  <si>
    <t>/home/xiuhui/lyq/ts-1/tiv</t>
  </si>
  <si>
    <t>158的02</t>
    <phoneticPr fontId="1" type="noConversion"/>
  </si>
  <si>
    <t>/home/vasp/li/ts-1/27-dimer2</t>
    <phoneticPr fontId="1" type="noConversion"/>
  </si>
  <si>
    <t>/home/xiuhui/lyq/ts-1/tiv/2h+ooh</t>
  </si>
  <si>
    <t>/home/zhengxiuhui/lyq/ts-1/tico/2h+ooh</t>
  </si>
  <si>
    <t>/home/xiuhui/lyq/ts-1/tiv/3/chu</t>
  </si>
  <si>
    <t>/home/zhengxiuhui/lyq/ts-1/tico/3/chu</t>
  </si>
  <si>
    <t>158的03</t>
    <phoneticPr fontId="1" type="noConversion"/>
  </si>
  <si>
    <t>/home/zhengxiuhui/lyq/ts-1/timo</t>
  </si>
  <si>
    <t>/home/zhengxiuhui/lyq/ts-1/tico/3/mo</t>
  </si>
  <si>
    <t>/home/liyaqian/node01data/ts-1/mfi/tizr/2o+ooh</t>
  </si>
  <si>
    <t>/home/zhengxiuhui/node03data/lyq/ts-1/timo/2h+ooh</t>
  </si>
  <si>
    <t>/home/zhengxiuhui/node02data/lyq/ts-1/tico/3/neb1-1</t>
  </si>
  <si>
    <t>/home/zhengxiuhui/node02data/lyq/ts-1/tico/3/mo2</t>
  </si>
  <si>
    <t>/home/zhengxiuhui/node03data/lyq/ts-1/timo/3/chu</t>
  </si>
  <si>
    <t>/home/zhengxiuhui/node02data/lyq/ts-1/tico/3/neb1-2</t>
  </si>
  <si>
    <t>/home/zhengxiuhui/node03data/lyq/ts-1/timo/3/mo</t>
  </si>
  <si>
    <t>/home/xiuhui/lyq/ts-1/tiv/3/mo</t>
  </si>
  <si>
    <t>/home/liyaqian/node01data/ts-1/mfi/timo/neb1-1</t>
  </si>
  <si>
    <t>158 01</t>
    <phoneticPr fontId="1" type="noConversion"/>
  </si>
  <si>
    <t>/home/liyaqian/node01data/ts-1/mfi/tico/neb1-2/02/13-dim</t>
  </si>
  <si>
    <t>/home/xiuhui/lyq/ts-1/tico/13-dim</t>
  </si>
  <si>
    <t>720.632824 cm-1</t>
  </si>
  <si>
    <t>458.407152 cm-1</t>
  </si>
  <si>
    <t>/home/xiuhui/lyq/ts-1/tico/13-dim/458-opt</t>
  </si>
  <si>
    <t>/home/zhengxiuhui/node03data/lyq/ts-1/timo/3/neb1-1/03/13-idm</t>
  </si>
  <si>
    <t>289.665901 cm-1</t>
  </si>
  <si>
    <t>/home/zhengxiuhui/node03data/lyq/ts-1/timo/3/neb1-1/03/13-idm/289-opt</t>
  </si>
  <si>
    <t>/home/liyaqian/node01data/ts-1/mfi/tinb</t>
  </si>
  <si>
    <t>/home/xiuhui/lyq/ts-1/tiv/3/neb1-1</t>
    <phoneticPr fontId="1" type="noConversion"/>
  </si>
  <si>
    <t>/home/liyaqian/node01data/ts-1/mfi/tiv</t>
    <phoneticPr fontId="1" type="noConversion"/>
  </si>
  <si>
    <t>/home/liyaqian/node01data/ts-1/mfi/tizr/3/chu</t>
  </si>
  <si>
    <t>/home/xiuhui/lyq/ts-1/tiv/3/neb1-1/02/27-idm</t>
  </si>
  <si>
    <t>/home/liyaqian/node01data/ts-1/mfi/tinb/2o+oh</t>
  </si>
  <si>
    <t xml:space="preserve">                                                                                                                     </t>
    <phoneticPr fontId="1" type="noConversion"/>
  </si>
  <si>
    <t>/home/zhengxiuhui/node02data/lyq/ts-1/tico/3/chu2</t>
  </si>
  <si>
    <t>/home/zhengxiuhui/node03data/lyq/ts-1/timo/3/neb1-1/03/test1</t>
  </si>
  <si>
    <t>逐渐变为mo</t>
    <phoneticPr fontId="1" type="noConversion"/>
  </si>
  <si>
    <t>/home/liyaqian/node01data/ts-1/mfi/tinb/3/chu</t>
  </si>
  <si>
    <t>-</t>
    <phoneticPr fontId="1" type="noConversion"/>
  </si>
  <si>
    <t>/home/zhengxiuhui/node03data/lyq/ts-1/timo/3/neb1-1/02/31-idm</t>
  </si>
  <si>
    <t>/home/zhengxiuhui/node02data/lyq/ts-1/tico/6h+oh</t>
  </si>
  <si>
    <t>/home/liyaqian/node01data/ts-1/mfi/tinb/3/mo</t>
  </si>
  <si>
    <t>/home/liyaqian/node01data/ts-1/mfi/tizr/3/mo</t>
  </si>
  <si>
    <t>/home/zhengxiuhui/node02data/lyq/ts-1/tico/7</t>
  </si>
  <si>
    <t>/home/liyaqian/node01data/ts-1/mfi/tizr/3/neb1-1</t>
  </si>
  <si>
    <t>/home/liyaqian/node01data/ts-1/mfi/tinb/3/neb1-1</t>
  </si>
  <si>
    <t>49.443184 cm-1</t>
    <phoneticPr fontId="1" type="noConversion"/>
  </si>
  <si>
    <t>/home/liyaqian/node01data/ts-1/mfi/tizr/3/neb1-1/02/9-idm</t>
  </si>
  <si>
    <t>/home/zhengxiuhui/node02data/lyq/ts-1/tiw</t>
  </si>
  <si>
    <t>/home/xiuhui/lyq/ts-1/tiv/3/neb1-1/02/27-idm/49-opt</t>
    <phoneticPr fontId="1" type="noConversion"/>
  </si>
  <si>
    <t>/home/liyaqian/node01data/ts-1/mfi/tizr/3/neb1-1/02/9-idm/413-opt</t>
  </si>
  <si>
    <t>413.218755 cm-1</t>
    <phoneticPr fontId="1" type="noConversion"/>
  </si>
  <si>
    <t>/home/zhengxiuhui/node02data/lyq/ts-1/tiw/2o+ooh</t>
  </si>
  <si>
    <t>/home/zhengxiuhui/node02data/lyq/ts-1/tiw/3/chu</t>
  </si>
  <si>
    <t>/home/zhengxiuhui/node02data/lyq/ts-1/tiw/3/mo</t>
  </si>
  <si>
    <t>/home/liyaqian/node01data/ts-1/mfi/tizr/6o+oh</t>
  </si>
  <si>
    <t>/home/xiuhui/lyq/ts-1/tiv/3/chu2</t>
  </si>
  <si>
    <t>/home/liyaqian/node01data/ts-1/mfi/tinb/3/neb1-1/02/91-idm</t>
    <phoneticPr fontId="1" type="noConversion"/>
  </si>
  <si>
    <t>/home/liyaqian/node01data/ts-1/mfi/tizr/7</t>
  </si>
  <si>
    <t>196.529035 cm-1</t>
  </si>
  <si>
    <t>/home/zhengxiuhui/node02data/lyq/ts-1/tiw/3/neb1-1</t>
  </si>
  <si>
    <t>/home/xiuhui/lyq/ts-1/tiv/6o+oh</t>
  </si>
  <si>
    <t>/home/xiuhui/lyq/ts-1/tiv/7</t>
  </si>
  <si>
    <t>/home/xiuhui/lyq/ts-1/tire</t>
  </si>
  <si>
    <t>/home/zhengxiuhui/node02data/lyq/ts-1/tiw/3/neb1-1/02/22-idm</t>
  </si>
  <si>
    <t>-</t>
    <phoneticPr fontId="1" type="noConversion"/>
  </si>
  <si>
    <t>/home/xiuhui/lyq/ts-1/tire/2o+ooh</t>
  </si>
  <si>
    <t>/home/zhengxiuhui/node02data/lyq/ts-1/tiw/3/neb1-1/02/5-idm</t>
  </si>
  <si>
    <t>/home/zhengxiuhui/node03data/lyq/ts-1/timo/3/neb1-1/02/11-idm</t>
  </si>
  <si>
    <t>/home/xiuhui/lyq/ts-1/tire/3/chu</t>
  </si>
  <si>
    <t>/home/liyaqian/node01data/ts-1/mfi/tinb/3/neb1-1/02/91-idm/196-opt</t>
    <phoneticPr fontId="1" type="noConversion"/>
  </si>
  <si>
    <t>-</t>
    <phoneticPr fontId="1" type="noConversion"/>
  </si>
  <si>
    <t>138.519462 cm-1</t>
    <phoneticPr fontId="1" type="noConversion"/>
  </si>
  <si>
    <t>113.376558 cm-1</t>
  </si>
  <si>
    <t>/home/zhengxiuhui/lyq/ts-1/timo/3/neb1-1/02/11-idm/113-opt</t>
  </si>
  <si>
    <t>231.320508 cm-1</t>
  </si>
  <si>
    <t>/home/liyaqian/node01data/ts-1/mfi/tinb/3/neb1-1/02/11-idm</t>
  </si>
  <si>
    <t>/home/xiuhui/lyq/ts-1/tire/3/mo</t>
  </si>
  <si>
    <t xml:space="preserve">127.434897 cm-1 </t>
  </si>
  <si>
    <t>/home/liyaqian/node01data/ts-1/mfi/tire/neb1-1</t>
  </si>
  <si>
    <t>/home/liyaqian/node01data/ts-1/mfi/tinb/3/neb1-1/02/ts-1</t>
  </si>
  <si>
    <t>78.005980 cm-1</t>
  </si>
  <si>
    <t>/home/liyaqian/node01data/ts-1/mfi/tinb/3/neb1-1/02/ts-1/78-opt</t>
  </si>
  <si>
    <t>/home/zhengxiuhui/node03data/lyq/ts-1/timo/3/neb1-1/02/ts-1</t>
  </si>
  <si>
    <t>/home/zhengxiuhui/node03data/lyq/ts-1/timo/3/neb1-1/02/ts-1/40-opt</t>
  </si>
  <si>
    <t xml:space="preserve">40.699873 cm-1  </t>
  </si>
  <si>
    <t>/home/liyaqian/node01data/ts-1/mfi/tinb/6h+oh</t>
  </si>
  <si>
    <t>/home/zhengxiuhui/node02data/lyq/ts-1/tiw/3/neb1-1/02/ts1</t>
  </si>
  <si>
    <t>变为chu</t>
    <phoneticPr fontId="1" type="noConversion"/>
  </si>
  <si>
    <t>181.960826 cm-1</t>
  </si>
  <si>
    <t>/home/zhengxiuhui/node02data/lyq/ts-1/tiw/3/neb1-1/02/ts1/181-opt</t>
  </si>
  <si>
    <t>/home/liyaqian/node01data/ts-1/mfi/tinb/7</t>
  </si>
  <si>
    <t>/home/liyaqian/node01data/ts-1/mfi/tinb/3/chu2</t>
  </si>
  <si>
    <t>/home/zhengxiuhui/node03data/lyq/ts-1/timo/6o+oh</t>
  </si>
  <si>
    <t>/home/liyaqian/node01data/ts-1/mfi/tinb/3/chu3</t>
  </si>
  <si>
    <t>/home/zhengxiuhui/node03data/lyq/ts-1/timo/3/chu2</t>
  </si>
  <si>
    <t>/home/xiuhui/lyq/ts-1/tiw/ts2</t>
  </si>
  <si>
    <t>/home/vasp/li/ts-1/neb1-1</t>
  </si>
  <si>
    <t>110.089085 cm-1</t>
  </si>
  <si>
    <t>/home/xiuhui/lyq/ts-1/tiw/ts2/110-opt</t>
  </si>
  <si>
    <t>/home/zhengxiuhui/node03data/lyq/ts-1/timo/7</t>
  </si>
  <si>
    <t>/home/liyaqian/node01data/ts-1/mfi/tinb/3/chu4</t>
  </si>
  <si>
    <t>/home/liyaqian/node01data/ts-1/mfi/tire/neb1-1/02/13-idm</t>
  </si>
  <si>
    <t>/home/zhengxiuhui/node03data/lyq/ts-1/tire/ts1</t>
  </si>
  <si>
    <t xml:space="preserve">145.144634 cm-1 </t>
  </si>
  <si>
    <t>228.035024 cm-1</t>
  </si>
  <si>
    <t>/home/liyaqian/node01data/ts-1/mfi/tire/neb1-1/02/13-idm/228-opt</t>
  </si>
  <si>
    <t>/home/zhengxiuhui/node03data/lyq/ts-1/tire/ts1/145-opt</t>
  </si>
  <si>
    <t>/home/liyaqian/node01data/ts-1/mfi/tinb/3/chu5</t>
    <phoneticPr fontId="1" type="noConversion"/>
  </si>
  <si>
    <t>变形</t>
    <phoneticPr fontId="1" type="noConversion"/>
  </si>
  <si>
    <t>/home/liyaqian/node01data/ts-1/mfi/tinb/3/chu6</t>
  </si>
  <si>
    <t>/home/liyaqian/node01data/ts-1/mfi/tihf</t>
  </si>
  <si>
    <t>/home/liyaqian/node01data/ts-1/mfi/tihf/2h+oh</t>
  </si>
  <si>
    <t>/home/liyaqian/node01data/ts-1/mfi/tihf/3/chu</t>
  </si>
  <si>
    <t>/home/zhengxiuhui/node02data/lyq/ts-1/ticu</t>
  </si>
  <si>
    <t>158 03</t>
    <phoneticPr fontId="1" type="noConversion"/>
  </si>
  <si>
    <t>/home/zhengxiuhui/node03data/lyq/ts-1/tire/ts1/145-opt2</t>
  </si>
  <si>
    <t>优化时间太久</t>
    <phoneticPr fontId="1" type="noConversion"/>
  </si>
  <si>
    <t>/home/zhengxiuhui/node02data/lyq/ts-1/ticu/2h+ooh</t>
  </si>
  <si>
    <t>/home/liyaqian/node01data/ts-1/mfi/tihf/3/mo</t>
  </si>
  <si>
    <t>/home/zhengxiuhui/node02data/lyq/ts-1/ticu/2h+ooh2</t>
  </si>
  <si>
    <t>/home/zhengxiuhui/node02data/lyq/ts-1/ticu/2h+ooh3</t>
  </si>
  <si>
    <t>不成双核</t>
    <phoneticPr fontId="1" type="noConversion"/>
  </si>
  <si>
    <t>/home/liyaqian/node01data/ts-1/mfi/tihf/3/ts1</t>
  </si>
  <si>
    <t>优化失败</t>
    <phoneticPr fontId="1" type="noConversion"/>
  </si>
  <si>
    <t>/home/zhengxiuhui/node03data/lyq/ts-1/tita</t>
  </si>
  <si>
    <t>158的03</t>
    <phoneticPr fontId="1" type="noConversion"/>
  </si>
  <si>
    <t>振动方向不对</t>
    <phoneticPr fontId="1" type="noConversion"/>
  </si>
  <si>
    <t>/home/liyaqian/node01data/ts-1/mfi/tihf/3/neb1-1</t>
  </si>
  <si>
    <t>/home/zhengxiuhui/node03data/lyq/ts-1/tita/2h+ooh</t>
  </si>
  <si>
    <t>/home/zhengxiuhui/node03data/lyq/ts-1/tita/3/chu</t>
  </si>
  <si>
    <t>158的02</t>
    <phoneticPr fontId="1" type="noConversion"/>
  </si>
  <si>
    <t>/home/zhengxiuhui/node02data/lyq/ts-1/timn</t>
  </si>
  <si>
    <t>/home/zhengxiuhui/node03data/lyq/ts-1/tita/3/mo</t>
  </si>
  <si>
    <t>/home/zhengxiuhui/node03data/lyq/ts-1/tita/3/neb1-1</t>
  </si>
  <si>
    <t>/home/zhengxiuhui/node02data/lyq/ts-1/timn/2h+ooh</t>
  </si>
  <si>
    <t>/home/zhengxiuhui/node02data/lyq/ts-1/timn/3/chu</t>
  </si>
  <si>
    <t>/home/liyaqian/node01data/ts-1/mfi/tiw/ts3</t>
  </si>
  <si>
    <t>/home/liyaqian/node01data/ts-1/mfi/tihf/3/neb1-1/02/44-idm</t>
  </si>
  <si>
    <t>108.430622 cm-1</t>
  </si>
  <si>
    <t>/home/liyaqian/node01data/ts-1/mfi/tiw/ts3/108-opt</t>
  </si>
  <si>
    <t>/home/zhengxiuhui/node02data/lyq/ts-1/timn/3/mo</t>
  </si>
  <si>
    <t>/home/liyaqian/node01data/ts-1/mfi/tiw/ts4</t>
  </si>
  <si>
    <t>/home/liyaqian/node01data/ts-1/mfi/tiw/ts2-1</t>
  </si>
  <si>
    <t>OH偏移远</t>
    <phoneticPr fontId="1" type="noConversion"/>
  </si>
  <si>
    <t>146.718947 cm-1</t>
  </si>
  <si>
    <t>94.506963 cm-1</t>
  </si>
  <si>
    <t>飞出去了</t>
    <phoneticPr fontId="1" type="noConversion"/>
  </si>
  <si>
    <t>能量不收敛</t>
    <phoneticPr fontId="1" type="noConversion"/>
  </si>
  <si>
    <t>/home/zhengxiuhui/node02data/lyq/ts-1/tiw/3/neb1-1/03/03-1opt</t>
  </si>
  <si>
    <t>/home/zhengxiuhui/node02data/lyq/ts-1/tiw/3/neb1-1/03/03-0opt</t>
  </si>
  <si>
    <t>/home/liyaqian/node01data/ts-1/mfi/tinb/3/neb1-1/02/94-idm</t>
  </si>
  <si>
    <t>448.065007 cm-1</t>
    <phoneticPr fontId="1" type="noConversion"/>
  </si>
  <si>
    <t>251.613293 cm-1</t>
    <phoneticPr fontId="1" type="noConversion"/>
  </si>
  <si>
    <t>/home/liyaqian/node01data/ts-1/mfi/tizr/3/chu2</t>
  </si>
  <si>
    <t>能量过高</t>
    <phoneticPr fontId="1" type="noConversion"/>
  </si>
  <si>
    <t>/home/liyaqian/node01data/ts-1/mfi/si66o98h68tife/ts-differential_charge/A_B</t>
  </si>
  <si>
    <t>差分电荷密度</t>
    <phoneticPr fontId="1" type="noConversion"/>
  </si>
  <si>
    <t>/home/xiuhui/lyq/ts-1/tiv/3/neb1-1/02/27-idm/49-opt/differential_charge/AB</t>
  </si>
  <si>
    <t>差分电荷密度</t>
    <phoneticPr fontId="1" type="noConversion"/>
  </si>
  <si>
    <t>bader电荷分析</t>
    <phoneticPr fontId="1" type="noConversion"/>
  </si>
  <si>
    <t>bader</t>
    <phoneticPr fontId="1" type="noConversion"/>
  </si>
  <si>
    <t>/home/liyaqian/node01data/ts-1/mfi/tizr/3/neb1-1/02/9-idm/413-opt/bader</t>
  </si>
  <si>
    <t>bader分析</t>
    <phoneticPr fontId="1" type="noConversion"/>
  </si>
  <si>
    <t>/home/xiuhui/lyq/ts-1/tiv/3/neb1-1/02/27-idm/49-opt/bader</t>
    <phoneticPr fontId="1" type="noConversion"/>
  </si>
  <si>
    <t>任一输入能量</t>
    <phoneticPr fontId="1" type="noConversion"/>
  </si>
  <si>
    <t>/home/zhengxiuhui/node02data/lyq/ts-1/tiw/3/neb1-1/03/03-0opt/448-opt</t>
    <phoneticPr fontId="1" type="noConversion"/>
  </si>
  <si>
    <t>/home/zhengxiuhui/node02data/lyq/ts-1/tiw/3/chu2</t>
  </si>
  <si>
    <t>/home/zhengxiuhui/node03data/lyq/ts-1/tire/ts2</t>
  </si>
  <si>
    <t>/home/liyaqian/node01data/ts-1/mfi/tihf/3/neb1-1/02/50-idm</t>
  </si>
  <si>
    <t>/home/zhengxiuhui/node03data/lyq/ts-1/tita/3/neb1-1/02/42-idm</t>
  </si>
  <si>
    <t>无虚频</t>
    <phoneticPr fontId="1" type="noConversion"/>
  </si>
  <si>
    <t>35.827077 cm-1</t>
    <phoneticPr fontId="1" type="noConversion"/>
  </si>
  <si>
    <t>/home/zhengxiuhui/node03data/lyq/ts-1/tire/ts2/35-opt</t>
  </si>
  <si>
    <t>290.424248 cm-1</t>
    <phoneticPr fontId="1" type="noConversion"/>
  </si>
  <si>
    <t>/home/liyaqian/node01data/ts-1/mfi/tihf/3/neb1-1/02/50-idm/290-opt</t>
  </si>
  <si>
    <t>/home/zhengxiuhui/node03data/lyq/ts-1/tita/3/neb1-1/02/54-idm</t>
  </si>
  <si>
    <t>/home/zhengxiuhui/node02data/lyq/ts-1/tiw/3/chu3</t>
  </si>
  <si>
    <t>/home/zhengxiuhui/node02data/lyq/ts-1/timn/3/neb1-1/02/39-idm</t>
    <phoneticPr fontId="1" type="noConversion"/>
  </si>
  <si>
    <t>/home/zhengxiuhui/node02data/lyq/ts-1/timn/3/neb1-1/02/38-idm</t>
    <phoneticPr fontId="1" type="noConversion"/>
  </si>
  <si>
    <t>/home/zhengxiuhui/lyq/ts-1/tiw/3/mo2</t>
  </si>
  <si>
    <t>424.552557 cm-1</t>
    <phoneticPr fontId="1" type="noConversion"/>
  </si>
  <si>
    <t>/home/zhengxiuhui/node02data/lyq/ts-1/timn/3/neb1-1/02/39-idm/424-opt</t>
  </si>
  <si>
    <t>/home/zhengxiuhui/node02data/lyq/ts-1/tiw/3/chu4</t>
  </si>
  <si>
    <t>/home/liyaqian/node01data/ts-1/mfi/tiw/mo3</t>
  </si>
  <si>
    <t>/home/liyaqian/node01data/ts-1/mfi/tiw/neb2-3</t>
  </si>
  <si>
    <t>优化失败</t>
    <phoneticPr fontId="1" type="noConversion"/>
  </si>
  <si>
    <t>/home/liyaqian/node01data/ts-1/mfi/tire/chu2</t>
  </si>
  <si>
    <t xml:space="preserve">132.352626 cm-1 </t>
  </si>
  <si>
    <t>/home/zhengxiuhui/node03data/lyq/ts-1/tita/3/neb1-1/02/54-idm/132-opt</t>
  </si>
  <si>
    <t>吉布斯自由能计算之后就好多了</t>
    <phoneticPr fontId="1" type="noConversion"/>
  </si>
  <si>
    <t>/home/zhengxiuhui/node02data/lyq/ts-1/timn/6h+oh</t>
  </si>
  <si>
    <t>/home/liyaqian/node01data/ts-1/mfi/si66o98h68/1-hex+ooh+h/mo3</t>
    <phoneticPr fontId="1" type="noConversion"/>
  </si>
  <si>
    <t>/home/zhengxiuhui/node02data/lyq/ts-1/tiw/6h+oh</t>
    <phoneticPr fontId="1" type="noConversion"/>
  </si>
  <si>
    <t>/home/zhengxiuhui/node03data/lyq/ts-1/tita/3/chu2</t>
  </si>
  <si>
    <t>/home/liyaqian/node01data/ts-1/mfi/tihf/6h+oh</t>
    <phoneticPr fontId="1" type="noConversion"/>
  </si>
  <si>
    <t>/home/liyaqian/node01data/ts-1/mfi/tihf/7</t>
  </si>
  <si>
    <t>/home/liyaqian/node01data/ts-1/mfi/tiw/neb2-3/02/134-idm</t>
  </si>
  <si>
    <t>/home/zhengxiuhui/node02data/lyq/ts-1/tiw/7</t>
  </si>
  <si>
    <t>/home/zhengxiuhui/node02data/lyq/ts-1/timn/7</t>
  </si>
  <si>
    <t>E0</t>
    <phoneticPr fontId="1" type="noConversion"/>
  </si>
  <si>
    <t>T</t>
    <phoneticPr fontId="1" type="noConversion"/>
  </si>
  <si>
    <r>
      <rPr>
        <sz val="11"/>
        <color theme="1"/>
        <rFont val="Calibri"/>
        <family val="2"/>
      </rPr>
      <t>Δ</t>
    </r>
    <r>
      <rPr>
        <sz val="11"/>
        <color theme="1"/>
        <rFont val="等线"/>
        <family val="3"/>
        <charset val="134"/>
      </rPr>
      <t>G</t>
    </r>
    <phoneticPr fontId="1" type="noConversion"/>
  </si>
  <si>
    <t>G</t>
    <phoneticPr fontId="1" type="noConversion"/>
  </si>
  <si>
    <t>地址</t>
    <phoneticPr fontId="1" type="noConversion"/>
  </si>
  <si>
    <t>TiFe</t>
    <phoneticPr fontId="1" type="noConversion"/>
  </si>
  <si>
    <t>ts</t>
    <phoneticPr fontId="1" type="noConversion"/>
  </si>
  <si>
    <t>/home/liyaqian/node01data/ts-1/mfi/tire/neb2-1</t>
    <phoneticPr fontId="1" type="noConversion"/>
  </si>
  <si>
    <t>eV</t>
    <phoneticPr fontId="1" type="noConversion"/>
  </si>
  <si>
    <t>H2O</t>
    <phoneticPr fontId="1" type="noConversion"/>
  </si>
  <si>
    <t>H2O2</t>
    <phoneticPr fontId="1" type="noConversion"/>
  </si>
  <si>
    <t>总</t>
    <phoneticPr fontId="1" type="noConversion"/>
  </si>
  <si>
    <t>/home/liyaqian/node01data/ts-1/mfi/si66o98h68/1-hexene/freq</t>
    <phoneticPr fontId="1" type="noConversion"/>
  </si>
  <si>
    <t>/home/liyaqian/node01data/ts-1/mfi/si66o98h68/h2o2/freq</t>
  </si>
  <si>
    <t>/home/liyaqian/node01data/ts-1/mfi/si66o98h68/1,2-epoxyhexane/freq</t>
  </si>
  <si>
    <t>/home/liyaqian/node01data/H2O/feq</t>
  </si>
  <si>
    <t>/home/liyaqian/node01data/ts-1/mfi/si66o98h68/1-hex+ooh+h/mo2</t>
    <phoneticPr fontId="1" type="noConversion"/>
  </si>
  <si>
    <t>变形</t>
    <phoneticPr fontId="1" type="noConversion"/>
  </si>
  <si>
    <t>/home/zhengxiuhui/node03data/lyq/ts-1/tita/3/chu3</t>
  </si>
  <si>
    <t>/home/liyaqian/node01data/ts-1/mfi/tire/neb2-1/02/39-idm</t>
  </si>
  <si>
    <t>/home/liyaqian/node01data/ts-1/mfi/si66o98h68/test5/tife/tiofe-t/freq</t>
  </si>
  <si>
    <t>/home/liyaqian/node01data/ts-1/mfi/si66o98h68/h2o2-ts/mo/freq</t>
  </si>
  <si>
    <t>/home/liyaqian/node01data/ts-1/mfi/tire/neb2-1/02/freq</t>
  </si>
  <si>
    <t>/home/liyaqian/node01data/ts-1/mfi/si66o98h68tife/ts-feq</t>
  </si>
  <si>
    <t>/home/liyaqian/node01data/ts-1/mfi/si66o98h68/1-hex+ooh+h/mo4/freq</t>
  </si>
  <si>
    <t>H2O2+C6H12</t>
  </si>
  <si>
    <t>H2O2*+C6H12</t>
  </si>
  <si>
    <t>(H2O2)(C6H12)*</t>
  </si>
  <si>
    <t>C6H12O+(H2O)*</t>
  </si>
  <si>
    <t>C6H12O+H2O</t>
  </si>
  <si>
    <t>C6H12</t>
  </si>
  <si>
    <t>C6H12O</t>
  </si>
  <si>
    <t>/home/liyaqian/node01data/ts-1/mfi/si66o98h68/1-hex+ooh+h/7final_2/freq</t>
  </si>
  <si>
    <t>TiMn</t>
    <phoneticPr fontId="1" type="noConversion"/>
  </si>
  <si>
    <t>/home/liyaqian/node01data/ts-1/mfi/si66o98h68/1-hex+ooh+h/6o+oh_2/freq</t>
    <phoneticPr fontId="1" type="noConversion"/>
  </si>
  <si>
    <t>TiHf</t>
    <phoneticPr fontId="1" type="noConversion"/>
  </si>
  <si>
    <t>/home/liyaqian/node01data/ts-1/mfi/tihf/2h+oh/freq</t>
  </si>
  <si>
    <t>/home/liyaqian/node01data/ts-1/mfi/tihf/3/neb1-1/02/50-idm/290-opt//freq</t>
    <phoneticPr fontId="1" type="noConversion"/>
  </si>
  <si>
    <t>/home/liyaqian/node01data/ts-1/mfi/tihf/3/chu/freq</t>
    <phoneticPr fontId="1" type="noConversion"/>
  </si>
  <si>
    <t>/home/liyaqian/node01data/ts-1/mfi/tihf/6h+oh/freq</t>
  </si>
  <si>
    <t>/home/liyaqian/node01data/ts-1/mfi/si66o98h68/1-hex+ooh+h/chu3/freq</t>
    <phoneticPr fontId="1" type="noConversion"/>
  </si>
  <si>
    <t>/home/xiuhui/lyq/ts-1/tire/6oh+h</t>
  </si>
  <si>
    <t>/home/zhengxiuhui/node03data/lyq/ts-1/tita/3/chu4</t>
  </si>
  <si>
    <t>/home/xiuhui/lyq/ts-1/tire/7</t>
  </si>
  <si>
    <t>变形</t>
    <phoneticPr fontId="1" type="noConversion"/>
  </si>
  <si>
    <t>/home/zhengxiuhui/node03data/lyq/ts-1/tita/3/chu5</t>
  </si>
  <si>
    <t>/home/xiuhui/lyq/ts-1/ticr/1ticr</t>
  </si>
  <si>
    <t>/home/zhengxiuhui/node03data/lyq/ts-1/tita/3/neb1-1/02/54-idm/132-opt/neb1-2</t>
    <phoneticPr fontId="1" type="noConversion"/>
  </si>
  <si>
    <t>/home/xiuhui/lyq/ts-1/ticr/2ooh+h</t>
  </si>
  <si>
    <t>/home/xiuhui/lyq/ts-1/ticr/3/chu</t>
  </si>
  <si>
    <t>/home/xiuhui/lyq/ts-1/titi/1titi</t>
  </si>
  <si>
    <t>/home/xiuhui/lyq/ts-1/ticr/3/mo</t>
  </si>
  <si>
    <t>/home/xiuhui/lyq/ts-1/titi/2ooh+h</t>
  </si>
  <si>
    <t>TiRe</t>
    <phoneticPr fontId="1" type="noConversion"/>
  </si>
  <si>
    <t>/home/liyaqian/node01data/ts-1/mfi/tire/chu2/freq</t>
    <phoneticPr fontId="1" type="noConversion"/>
  </si>
  <si>
    <t>/home/xiuhui/lyq/ts-1/ticr/3/neb1-1</t>
  </si>
  <si>
    <t>/home/xiuhui/lyq/ts-1/titi/3/chu</t>
  </si>
  <si>
    <t>/home/xiuhui/lyq/ts-1/tire/7/freq</t>
    <phoneticPr fontId="1" type="noConversion"/>
  </si>
  <si>
    <t>TiNb</t>
    <phoneticPr fontId="1" type="noConversion"/>
  </si>
  <si>
    <t>/home/liyaqian/node01data/ts-1/mfi/tinb/2o+oh/freq</t>
  </si>
  <si>
    <t>/home/liyaqian/node01data/ts-1/mfi/tinb/3/neb1-1/02/ts-1/78-opt/freq</t>
  </si>
  <si>
    <t>/home/liyaqian/node01data/ts-1/mfi/tinb/3/mo/freq</t>
    <phoneticPr fontId="1" type="noConversion"/>
  </si>
  <si>
    <t>/home/zhengxiuhui/node02data/lyq/ts-1/timn/2h+ooh/freq</t>
    <phoneticPr fontId="1" type="noConversion"/>
  </si>
  <si>
    <t>/home/zhengxiuhui/node02data/lyq/ts-1/timn/3/chu/freq</t>
    <phoneticPr fontId="1" type="noConversion"/>
  </si>
  <si>
    <t>/home/liyaqian/node01data/ts-1/mfi/tinb/7/freq</t>
  </si>
  <si>
    <t>TiMo</t>
    <phoneticPr fontId="1" type="noConversion"/>
  </si>
  <si>
    <t>/home/zhengxiuhui/node03data/lyq/ts-1/timo/2h+ooh/freq</t>
  </si>
  <si>
    <t>/home/zhengxiuhui/node03data/lyq/ts-1/timo/3/mo/freq</t>
    <phoneticPr fontId="1" type="noConversion"/>
  </si>
  <si>
    <t>/home/zhengxiuhui/node03data/lyq/ts-1/timo/6o+oh/freq</t>
  </si>
  <si>
    <t>/home/zhengxiuhui/node03data/lyq/ts-1/timo/3/neb1-1/02/ts-1/40-opt/freq</t>
    <phoneticPr fontId="1" type="noConversion"/>
  </si>
  <si>
    <t>TiV</t>
    <phoneticPr fontId="1" type="noConversion"/>
  </si>
  <si>
    <t>/home/xiuhui/lyq/ts-1/tiv/2h+ooh/freq</t>
  </si>
  <si>
    <t>/home/xiuhui/lyq/ts-1/tiv/3/chu2/freq</t>
  </si>
  <si>
    <t>/home/xiuhui/lyq/ts-1/tiv/3/mo/freq</t>
  </si>
  <si>
    <t>/home/xiuhui/lyq/ts-1/tiv/3/neb1-1/02/27-idm/49-opt/freq</t>
    <phoneticPr fontId="1" type="noConversion"/>
  </si>
  <si>
    <t>/home/xiuhui/lyq/ts-1/tiv/7/freq</t>
  </si>
  <si>
    <t>TiZr</t>
    <phoneticPr fontId="1" type="noConversion"/>
  </si>
  <si>
    <t>/home/liyaqian/node01data/ts-1/mfi/tizr/2o+ooh/freq</t>
  </si>
  <si>
    <t>/home/liyaqian/node01data/ts-1/mfi/tizr/3/neb1-1/02/9-idm/413-opt/freq</t>
  </si>
  <si>
    <t>/home/liyaqian/node01data/ts-1/mfi/tizr/3/mo/freq</t>
  </si>
  <si>
    <t>/home/liyaqian/node01data/ts-1/mfi/tizr/7/freq</t>
  </si>
  <si>
    <t>/home/xiuhui/lyq/ts-1/titi/3/mo</t>
  </si>
  <si>
    <t>/home/zhengxiuhui/node02data/lyq/ts-1/ticr/neb1-1</t>
  </si>
  <si>
    <t>/home/zhengxiuhui/node02data/lyq/ts-1/ticr/neb1-1/02/14-idm</t>
  </si>
  <si>
    <t>无虚频</t>
    <phoneticPr fontId="1" type="noConversion"/>
  </si>
  <si>
    <t>/home/zhengxiuhui/node02data/lyq/ts-1/timn/tiomn-t</t>
    <phoneticPr fontId="1" type="noConversion"/>
  </si>
  <si>
    <t>/home/liyaqian/node01data/ts-1/mfi/titi/neb1-1</t>
  </si>
  <si>
    <t>/home/zhengxiuhui/node02data/lyq/ts-1/ticr/neb1-1/02/23-idm</t>
  </si>
  <si>
    <t>/home/zhengxiuhui/node03data/lyq/ts-1/tita/6oh+h</t>
  </si>
  <si>
    <t>/home/liyaqian/node01data/ts-1/mfi/tila/tiola-t</t>
  </si>
  <si>
    <t>/home/zhengxiuhui/node03data/lyq/ts-1/tige</t>
  </si>
  <si>
    <t>/home/zhengxiuhui/node02data/lyq/ts-1/tiga/tioga-t</t>
  </si>
  <si>
    <t>/home/liyaqian/node01data/ts-1/mfi/tizn/tiozn-t</t>
  </si>
  <si>
    <t>TiCo</t>
    <phoneticPr fontId="1" type="noConversion"/>
  </si>
  <si>
    <t>/home/zhengxiuhui/node02data/lyq/ts-1/ticr/neb1-1/02/29-idm</t>
  </si>
  <si>
    <t>/home/xiuhui/lyq/ts-1/titi/3/neb1-1/</t>
  </si>
  <si>
    <t>/home/zhengxiuhui/node03data/lyq/ts-1/tige/2ooh+h</t>
  </si>
  <si>
    <t>/home/zhengxiuhui/node03data/lyq/ts-1/tita/7</t>
    <phoneticPr fontId="1" type="noConversion"/>
  </si>
  <si>
    <t>/home/zhengxiuhui/node03data/lyq/ts-1/tige/3/chu</t>
  </si>
  <si>
    <t>/home/liyaqian/node01data/ts-1/mfi/tizn/2ooh+h</t>
  </si>
  <si>
    <t>/home/xiuhui/lyq/ts-1/titi/3/neb1-1/02/15-idm</t>
  </si>
  <si>
    <t>/home/xiuhui/lyq/ts-1/titi/3/neb1-1/02/15-idm/277-opt</t>
  </si>
  <si>
    <t xml:space="preserve">277.760939 cm-1 </t>
  </si>
  <si>
    <t>/home/liyaqian/node01data/ts-1/mfi/tizn/2ooh+oh2</t>
  </si>
  <si>
    <t>/home/liyaqian/node01data/ts-1/mfi/tial/tioal-t</t>
  </si>
  <si>
    <t>/home/liyaqian/node01data/ts-1/mfi/tini/tioni-t</t>
  </si>
  <si>
    <t>/home/zhengxiuhui/node02data/lyq/ts-1/tiga/2ooh+h</t>
  </si>
  <si>
    <t>ooh无法吸附</t>
    <phoneticPr fontId="1" type="noConversion"/>
  </si>
  <si>
    <t>/home/liyaqian/node01data/ts-1/mfi/tial/2ooh+h</t>
  </si>
  <si>
    <t>/home/liyaqian/node01data/ts-1/mfi/tini/2ooh+h</t>
  </si>
  <si>
    <t>/home/zhengxiuhui/node02data/lyq/ts-1/tib/tiob-t</t>
    <phoneticPr fontId="1" type="noConversion"/>
  </si>
  <si>
    <t>/home/zhengxiuhui/node02data/lyq/ts-1/tib/2ooh+h</t>
  </si>
  <si>
    <t>/home/xiuhui/lyq/ts-1/titi/6oh+h</t>
  </si>
  <si>
    <t>ooh吸附不上</t>
    <phoneticPr fontId="1" type="noConversion"/>
  </si>
  <si>
    <t>/home/liyaqian/node01data/ts-1/mfi/tini/3/chu</t>
  </si>
  <si>
    <t>/home/xiuhui/lyq/ts-1/titi/7</t>
  </si>
  <si>
    <t>/home/liyaqian/node01data/ts-1/mfi/tini/3/mo</t>
  </si>
  <si>
    <t>/home/zhengxiuhui/node02data/lyq/ts-1/ticr/neb1-1/01/80-idm</t>
    <phoneticPr fontId="1" type="noConversion"/>
  </si>
  <si>
    <t>/home/zhengxiuhui/node02data/lyq/ts-1/ticr/neb1-1/01/80-idm/135-opt</t>
  </si>
  <si>
    <t>/home/zhengxiuhui/node02data/lyq/ts-1/tib/2ooh+h2</t>
  </si>
  <si>
    <t>/home/zhengxiuhui/node03data/lyq/ts-1/tige/3/mo</t>
  </si>
  <si>
    <t>催化剂</t>
  </si>
  <si>
    <t>Ti-Ti</t>
  </si>
  <si>
    <t>Ti-Fe</t>
  </si>
  <si>
    <t>Ti-Co</t>
  </si>
  <si>
    <t>Ti-Zr</t>
  </si>
  <si>
    <t>Ti-V</t>
  </si>
  <si>
    <t>Ti-Mo</t>
  </si>
  <si>
    <t>Ti-Nb</t>
  </si>
  <si>
    <t>Ti-Hf</t>
  </si>
  <si>
    <t>Ti-Mn</t>
  </si>
  <si>
    <t>Ti-Re</t>
  </si>
  <si>
    <t>Ti-W</t>
  </si>
  <si>
    <t>Ti-Ta</t>
  </si>
  <si>
    <t>/home/liyaqian/node01data/ts-1/mfi/tini/3/neb1-1</t>
  </si>
  <si>
    <t>/home/xiuhui/lyq/ts-1/tige/3/mo</t>
  </si>
  <si>
    <t>COHP计算</t>
  </si>
  <si>
    <t>COHP计算</t>
    <phoneticPr fontId="1" type="noConversion"/>
  </si>
  <si>
    <t>/home/liyaqian/node01data/ts-1/mfi/tiw/chu</t>
  </si>
  <si>
    <t>/home/liyaqian/node01data/ts-1/mfi/tini/3/neb1-1/02/12-idm</t>
  </si>
  <si>
    <t>/home/zhengxiuhui/node03data/lyq/ts-1/tini/3/12-idm</t>
  </si>
  <si>
    <t>345.325376 cm-1</t>
  </si>
  <si>
    <t>优化变形</t>
    <phoneticPr fontId="1" type="noConversion"/>
  </si>
  <si>
    <t>/home/zhengxiuhui/node02data/lyq/ts-1/ticr/neb1-1/01/69-idm</t>
  </si>
  <si>
    <t>TiTi</t>
    <phoneticPr fontId="1" type="noConversion"/>
  </si>
  <si>
    <t>TiW</t>
    <phoneticPr fontId="1" type="noConversion"/>
  </si>
  <si>
    <t>TiTa</t>
    <phoneticPr fontId="1" type="noConversion"/>
  </si>
  <si>
    <t>/home/xiuhui/lyq/ts-1/titi/1titi/freq</t>
  </si>
  <si>
    <t>/home/xiuhui/lyq/ts-1/titi/2ooh+h/freq</t>
  </si>
  <si>
    <t>/home/xiuhui/lyq/ts-1/titi/3/chu/freq</t>
  </si>
  <si>
    <t>/home/xiuhui/lyq/ts-1/titi/3/neb1-1/02/15-idm/277-opt/freq</t>
  </si>
  <si>
    <t>/home/xiuhui/lyq/ts-1/titi/3/mo/freq</t>
  </si>
  <si>
    <t>/home/xiuhui/lyq/ts-1/titi/6oh+h/freq</t>
  </si>
  <si>
    <t>/home/xiuhui/lyq/ts-1/titi/7/freq</t>
  </si>
  <si>
    <t>/home/zhengxiuhui/node02data/lyq/ts-1/tiw/2o+ooh/freq</t>
  </si>
  <si>
    <t>/home/zhengxiuhui/node02data/lyq/ts-1/tiw/3/chu/freq</t>
  </si>
  <si>
    <t>/home/zhengxiuhui/node02data/lyq/ts-1/tiw/3/neb1-1/03/03-0opt/448-opt/freq</t>
  </si>
  <si>
    <t>/home/zhengxiuhui/node02data/lyq/ts-1/tiw/6h+oh/freq</t>
  </si>
  <si>
    <t>/home/zhengxiuhui/node02data/lyq/ts-1/tiw/3/mo/freq</t>
    <phoneticPr fontId="1" type="noConversion"/>
  </si>
  <si>
    <t>/home/zhengxiuhui/node02data/lyq/ts-1/tiw/7/freq</t>
  </si>
  <si>
    <t>296.218920 cm-1</t>
  </si>
  <si>
    <t>/home/zhengxiuhui/node02data/lyq/ts-1/ticr/neb1-1/01/69-idm/296-opt</t>
  </si>
  <si>
    <t>/home/xiuhui/lyq/ts-1/tige/3/neb1-1</t>
  </si>
  <si>
    <t>OOH吸附不上</t>
    <phoneticPr fontId="1" type="noConversion"/>
  </si>
  <si>
    <t>/home/zhengxiuhui/node03data/lyq/ts-1/tini/3/12-idm/345-opt</t>
    <phoneticPr fontId="1" type="noConversion"/>
  </si>
  <si>
    <t>/home/zhengxiuhui/node03data/lyq/ts-1/tini/6oh+h</t>
  </si>
  <si>
    <t>/home/zhengxiuhui/node03data/lyq/ts-1/tini/7</t>
  </si>
  <si>
    <t>/home/zhengxiuhui/node03data/lyq/ts-1/tita/3/neb1-1/02/54-idm/132-opt/freq</t>
  </si>
  <si>
    <t>/home/zhengxiuhui/node03data/lyq/ts-1/tita/6oh+h/freq</t>
  </si>
  <si>
    <t>/home/zhengxiuhui/node03data/lyq/ts-1/tita/7/freq</t>
  </si>
  <si>
    <t>/home/zhengxiuhui/node02data/lyq/ts-1/timn/3/neb1-1/02/39-idm/424-opt/freq</t>
  </si>
  <si>
    <t>Ti-Ni</t>
    <phoneticPr fontId="1" type="noConversion"/>
  </si>
  <si>
    <t>/home/zhengxiuhui/node02data/lyq/ts-1/timn/7/freq</t>
  </si>
  <si>
    <t>第三列COHP积分值</t>
  </si>
  <si>
    <t>第三列COHP积分值</t>
    <phoneticPr fontId="1" type="noConversion"/>
  </si>
  <si>
    <t>/home/liyaqian/node01data/ts-1/mfi/si66o98h68/1-hex+ooh+h/chu3/COHP/O56-O57_Pt_1.4_1.41</t>
  </si>
  <si>
    <t>/home/liyaqian/node01data/ts-1/mfi/tita/3/chu/COHP</t>
  </si>
  <si>
    <t>/home/zhengxiuhui/node02data/lyq/ts-1/ticr/6oh+h</t>
  </si>
  <si>
    <t>/home/zhengxiuhui/node02data/lyq/ts-1/tico/3/chu2/freq</t>
  </si>
  <si>
    <t>/home/zhengxiuhui/node02data/lyq/ts-1/tico/6h+oh/freq</t>
  </si>
  <si>
    <t>/home/zhengxiuhui/node02data/lyq/ts-1/tico/7/freq</t>
  </si>
  <si>
    <t>/home/zhengxiuhui/node02data/lyq/ts-1/ticr/7</t>
  </si>
  <si>
    <t>/home/liyaqian/node01data/ts-1/mfi/ti/1</t>
  </si>
  <si>
    <t>/home/liyaqian/node01data/ts-1/mfi/ti/2ooh+h</t>
  </si>
  <si>
    <t>/home/liyaqian/node01data/ts-1/mfi/ti/3/chu</t>
  </si>
  <si>
    <t>/home/liyaqian/node01data/ts-1/mfi/ti/3/mo</t>
  </si>
  <si>
    <t>/home/liyaqian/node01data/ts-1/mfi/ti/3/neb1-1</t>
  </si>
  <si>
    <t>/home/liyaqian/node01data/ts-1/mfi/ti/3/neb1-1/02/66-idm</t>
  </si>
  <si>
    <t>/home/liyaqian/node01data/ts-1/mfi/ti/6</t>
  </si>
  <si>
    <t>/home/liyaqian/node01data/ts-1/mfi/ti/7</t>
  </si>
  <si>
    <t>Ti-Cr</t>
    <phoneticPr fontId="1" type="noConversion"/>
  </si>
  <si>
    <t>单核ti</t>
    <phoneticPr fontId="1" type="noConversion"/>
  </si>
  <si>
    <t>TiCr</t>
    <phoneticPr fontId="1" type="noConversion"/>
  </si>
  <si>
    <t>单核Ti</t>
    <phoneticPr fontId="1" type="noConversion"/>
  </si>
  <si>
    <t>TiNi</t>
    <phoneticPr fontId="1" type="noConversion"/>
  </si>
  <si>
    <t>/home/xiuhui/lyq/ts-1/ticr/1ticr/freq</t>
  </si>
  <si>
    <t>/home/xiuhui/lyq/ts-1/ticr/2ooh+h/freq</t>
  </si>
  <si>
    <t>/home/xiuhui/lyq/ts-1/ticr/3/chu/freq</t>
  </si>
  <si>
    <t>/home/xiuhui/lyq/ts-1/ticr/3/mo/freq</t>
  </si>
  <si>
    <t>/home/zhengxiuhui/node02data/lyq/ts-1/ticr/6oh+h/freq</t>
  </si>
  <si>
    <t>/home/zhengxiuhui/node02data/lyq/ts-1/ticr/7/freq</t>
  </si>
  <si>
    <t>/home/liyaqian/node01data/ts-1/mfi/ti/1/freq</t>
  </si>
  <si>
    <t>/home/liyaqian/node01data/ts-1/mfi/ti/3/chu/freq</t>
  </si>
  <si>
    <t>/home/liyaqian/node01data/ts-1/mfi/ti/2ooh+h/freq</t>
    <phoneticPr fontId="1" type="noConversion"/>
  </si>
  <si>
    <t>/home/liyaqian/node01data/ts-1/mfi/ti/3/neb1-1/02/66-idm/358-opt/freq</t>
  </si>
  <si>
    <t>/home/liyaqian/node01data/ts-1/mfi/ti/3/mo/freq</t>
  </si>
  <si>
    <t>/home/liyaqian/node01data/ts-1/mfi/ti/6/freq</t>
  </si>
  <si>
    <t>/home/liyaqian/node01data/ts-1/mfi/tini/tioni-t/freq</t>
  </si>
  <si>
    <t>/home/liyaqian/node01data/ts-1/mfi/tini/2ooh+h/freq</t>
  </si>
  <si>
    <t>/home/liyaqian/node01data/ts-1/mfi/tini/3/chu/freq</t>
  </si>
  <si>
    <t>/home/zhengxiuhui/node03data/lyq/ts-1/tini/6oh+h/freq</t>
  </si>
  <si>
    <t>/home/zhengxiuhui/node03data/lyq/ts-1/tini/7/freq</t>
    <phoneticPr fontId="1" type="noConversion"/>
  </si>
  <si>
    <t>/home/liyaqian/node01data/ts-1/mfi/tini/3/mo</t>
    <phoneticPr fontId="1" type="noConversion"/>
  </si>
  <si>
    <t>/home/liyaqian/node01data/ts-1/mfi/ti/7/freq</t>
    <phoneticPr fontId="1" type="noConversion"/>
  </si>
  <si>
    <t>/home/xiuhui/lyq/ts-1/tire/tiore-t/freq</t>
  </si>
  <si>
    <t>/home/liyaqian/node01data/ts-1/mfi/tinb/tionb-t/freq</t>
  </si>
  <si>
    <t>/home/zhengxiuhui/node03data/lyq/ts-1/timo/tiomo-t/freq</t>
  </si>
  <si>
    <t>/home/zhengxiuhui/node03data/lyq/ts-1/timo/7/freq</t>
  </si>
  <si>
    <t>/home/zhengxiuhui/lyq/ts-1/tico</t>
    <phoneticPr fontId="1" type="noConversion"/>
  </si>
  <si>
    <t>/home/zhengxiuhui/lyq/ts-1/tico/2h+ooh/freq</t>
    <phoneticPr fontId="1" type="noConversion"/>
  </si>
  <si>
    <t>/home/xiuhui/lyq/ts-1/tico/13-dim/458-opt</t>
    <phoneticPr fontId="1" type="noConversion"/>
  </si>
  <si>
    <t>/home/xiuhui/lyq/ts-1/tire/2o+ooh/freq</t>
  </si>
  <si>
    <t>/home/zhengxiuhui/node02data/lyq/ts-1/tico/tico-t/freq</t>
  </si>
  <si>
    <t>/home/zhengxiuhui/node02data/lyq/ts-1/tiw/tiow-t/freq</t>
  </si>
  <si>
    <t>/home/zhengxiuhui/node03data/lyq/ts-1/tini/3/12-idm/345-opt/freq</t>
  </si>
  <si>
    <t>/home/liyaqian/node01data/ts-1/mfi/tire/ts/freq</t>
  </si>
  <si>
    <t>/home/zhengxiuhui/node03data/lyq/ts-1/tita/3/chu/freq</t>
    <phoneticPr fontId="1" type="noConversion"/>
  </si>
  <si>
    <t>/home/liyaqian/node01data/ts-1/mfi/tizr/3/chu2/freq</t>
    <phoneticPr fontId="1" type="noConversion"/>
  </si>
  <si>
    <t>/home/zhengxiuhui/node03data/lyq/ts-1/timo/3/chu2/freq</t>
    <phoneticPr fontId="1" type="noConversion"/>
  </si>
  <si>
    <t>换用nature的设置计算</t>
    <phoneticPr fontId="1" type="noConversion"/>
  </si>
  <si>
    <t>/home/liyaqian/node01data/ts-1/mfi/ti/3/neb1-1/02/66-idm/358-opt/enhance1</t>
  </si>
  <si>
    <t>/home/liyaqian/node01data/ts-1/mfi/ti/3/chu/enhance1</t>
  </si>
  <si>
    <t>C6H12O+H2O</t>
    <phoneticPr fontId="1" type="noConversion"/>
  </si>
  <si>
    <t>+</t>
    <phoneticPr fontId="1" type="noConversion"/>
  </si>
  <si>
    <t>/home/liyaqian/node01data/ts-1/mfi/tihf/freq</t>
    <phoneticPr fontId="1" type="noConversion"/>
  </si>
  <si>
    <t>/home/liyaqian/node01data/ts-1/mfi/tihf/tihf-t</t>
  </si>
  <si>
    <t>/home/xiuhui/lyq/ts-1/tiv/tiov-t/freq</t>
    <phoneticPr fontId="1" type="noConversion"/>
  </si>
  <si>
    <t>/home/liyaqian/node01data/ts-1/mfi/tizr/tiozr-t/freq</t>
    <phoneticPr fontId="1" type="noConversion"/>
  </si>
  <si>
    <t>/home/zhengxiuhui/node03data/lyq/ts-1/tita/tita-t/t1/freq</t>
    <phoneticPr fontId="1" type="noConversion"/>
  </si>
  <si>
    <t>/home/liyaqian/node01data/ts-1/mfi/tita/tita-t/freq</t>
  </si>
  <si>
    <t>/home/vasp/li/ts-1/tico/freq3</t>
  </si>
  <si>
    <t>/home/liyaqian/node01data/ts-1/mfi/si66o98h68/1-hex+ooh+h/6h2o-ts/chu</t>
  </si>
  <si>
    <t>/home/liyaqian/node01data/ts-1/mfi/si66o98h68/1-hex+ooh+h/6h2o-ts/ts</t>
  </si>
  <si>
    <t>/home/zhengxiuhui/node02data/lyq/ts-1/tico/h2o/chu</t>
  </si>
  <si>
    <t>/home/xiuhui/lyq/ts-1/titi/h2o/chu</t>
  </si>
  <si>
    <t>/home/xiuhui/lyq/ts-1/tiv/h2o/chu</t>
  </si>
  <si>
    <t>/home/liyaqian/node01data/ts-1/mfi/tizr/h2o/chu</t>
  </si>
  <si>
    <t>/home/zhengxiuhui/node02data/lyq/ts-1/tini/h2o/chu</t>
  </si>
  <si>
    <t>/home/zhengxiuhui/node02data/lyq/ts-1/ticr/h2o/chu</t>
  </si>
  <si>
    <t>/home/zhengxiuhui/node02data/lyq/ts-1/timn/h2o/chu</t>
  </si>
  <si>
    <t>/home/zhengxiuhui/node02data/lyq/ts-1/tita/h2o/chu</t>
  </si>
  <si>
    <t>/home/xiuhui/lyq/ts-1/tire/h2o/chu</t>
  </si>
  <si>
    <t>/home/zhengxiuhui/node02data/lyq/ts-1/tiw/h2o/chu</t>
  </si>
  <si>
    <t>/home/liyaqian/node01data/ts-1/mfi/tinb/h2o/chu</t>
  </si>
  <si>
    <t>/home/zhengxiuhui/node02data/lyq/ts-1/timo/h2o/chu</t>
  </si>
  <si>
    <t>/home/liyaqian/node01data/ts-1/mfi/tizr/h2o/neb1-1</t>
  </si>
  <si>
    <t>/home/liyaqian/node01data/ts-1/mfi/ti/h2o/chu</t>
    <phoneticPr fontId="1" type="noConversion"/>
  </si>
  <si>
    <t>/home/liyaqian/node01data/ts-1/mfi/ti/h2o/chu2</t>
  </si>
  <si>
    <t>/home/liyaqian/node01data/ts-1/mfi/tihf/h2o</t>
    <phoneticPr fontId="1" type="noConversion"/>
  </si>
  <si>
    <t>/home/liyaqian/node01data/ts-1/mfi/tihf/6h+oh</t>
  </si>
  <si>
    <t>/home/liyaqian/node01data/ts-1/mfi/tihf/h2o/neb1-1</t>
  </si>
  <si>
    <t>/home/liyaqian/node01data/ts-1/mfi/tinb/h2o/neb1-1</t>
  </si>
  <si>
    <t>/home/liyaqian/node01data/ts-1/mfi/tihf/h2o/neb1-1/01/34-opt</t>
  </si>
  <si>
    <t>/home/xiuhui/lyq/ts-1/titi/h2o/neb1-1</t>
  </si>
  <si>
    <t>/home/xiuhui/lyq/ts-1/tiv/h2o/neb1-1</t>
  </si>
  <si>
    <t>/home/xiuhui/lyq/ts-1/tire/h2o/neb1-1</t>
  </si>
  <si>
    <t>OOH_111</t>
    <phoneticPr fontId="1" type="noConversion"/>
  </si>
  <si>
    <t>OH_111</t>
    <phoneticPr fontId="1" type="noConversion"/>
  </si>
  <si>
    <t>H2O2_111</t>
    <phoneticPr fontId="1" type="noConversion"/>
  </si>
  <si>
    <t>C6H12_111</t>
    <phoneticPr fontId="1" type="noConversion"/>
  </si>
  <si>
    <t>H2O_111</t>
    <phoneticPr fontId="1" type="noConversion"/>
  </si>
  <si>
    <t>OOH-C6H12_111</t>
    <phoneticPr fontId="1" type="noConversion"/>
  </si>
  <si>
    <t>/home/zhengxiuhui/node02data/lyq/ts-1/ticr/neb1-1/01/69-idm/296-opt/freq/259-opt</t>
    <phoneticPr fontId="1" type="noConversion"/>
  </si>
  <si>
    <t>/home/zhengxiuhui/node02data/lyq/ts-1/ticr/neb1-1/01/69-idm/296-opt/freq2/259-opt/freq</t>
  </si>
  <si>
    <t>/home/vasp/li/ts-1/tico/freq3/382-opt/freq</t>
  </si>
  <si>
    <t>/home/zhengxiuhui/node02data/lyq/ts-1/tico/h2o/neb1-1</t>
  </si>
  <si>
    <t>/home/liyaqian/node01data/ts-1/mfi/ti/h2o/neb1-1</t>
  </si>
  <si>
    <t>/home/liyaqian/node01data/ts-1/mfi/si66o98h68/1-hex+ooh+h/6h2o-ts/ts/01/6-opt</t>
  </si>
  <si>
    <t>/home/zhengxiuhui/node02data/lyq/ts-1/tini/h2o/neb1-1</t>
  </si>
  <si>
    <t>/home/zhengxiuhui/node02data/lyq/ts-1/ticr/h2o/neb1-1</t>
  </si>
  <si>
    <t>/home/zhengxiuhui/node02data/lyq/ts-1/timn/h2o/neb1-1</t>
  </si>
  <si>
    <t>/home/zhengxiuhui/node02data/lyq/ts-1/tita/h2o/neb1-1</t>
  </si>
  <si>
    <t>1374.675140 cm-1</t>
  </si>
  <si>
    <t>/home/liyaqian/node01data/ts-1/mfi/tihf/h2o/neb1-1/01/34-opt/1374-opt</t>
  </si>
  <si>
    <t>/home/zhengxiuhui/node02data/lyq/ts-1/tiw/6h+oh</t>
  </si>
  <si>
    <t>/home/zhengxiuhui/node02data/lyq/ts-1/tiw/h2o/neb1-1</t>
  </si>
  <si>
    <t>/home/zhengxiuhui/node02data/lyq/ts-1/tiw/h2o/chu2</t>
    <phoneticPr fontId="1" type="noConversion"/>
  </si>
  <si>
    <t>/home/liyaqian/node01data/ts-1/mfi/tinb/h2o/neb1-1/01</t>
    <phoneticPr fontId="1" type="noConversion"/>
  </si>
  <si>
    <t>/home/zhengxiuhui/node02data/lyq/ts-1/timo/h2o/neb1-1</t>
  </si>
  <si>
    <t>/home/zhengxiuhui/node02data/lyq/ts-1/ticr/neb1-1/01/69-idm/296-opt/freq2/259-opt/freq/correction</t>
  </si>
  <si>
    <t>/home/xiuhui/lyq/ts-1/titi/6oh+h/oh</t>
  </si>
  <si>
    <t>/home/xiuhui/lyq/ts-1/titi/2ooh+h/h2o2</t>
  </si>
  <si>
    <t>/home/xiuhui/lyq/ts-1/titi/3/chu/c6h12</t>
  </si>
  <si>
    <t>/home/xiuhui/lyq/ts-1/titi/6oh+h/h2o</t>
  </si>
  <si>
    <t>/home/xiuhui/lyq/ts-1/titi/2ooh+h/h</t>
  </si>
  <si>
    <t>C6H12O_111</t>
    <phoneticPr fontId="1" type="noConversion"/>
  </si>
  <si>
    <t>H_a_111</t>
    <phoneticPr fontId="1" type="noConversion"/>
  </si>
  <si>
    <t>H_b_111</t>
    <phoneticPr fontId="1" type="noConversion"/>
  </si>
  <si>
    <t>O_111</t>
    <phoneticPr fontId="1" type="noConversion"/>
  </si>
  <si>
    <t>H_b-O_111</t>
    <phoneticPr fontId="1" type="noConversion"/>
  </si>
  <si>
    <t>/home/xiuhui/lyq/ts-1/titi/2ooh+h/ooh</t>
    <phoneticPr fontId="1" type="noConversion"/>
  </si>
  <si>
    <t>/home/xiuhui/lyq/ts-1/titi/3/mo/c6h12o</t>
  </si>
  <si>
    <t>/home/xiuhui/lyq/ts-1/titi/h2o/chu/o</t>
  </si>
  <si>
    <t>/home/xiuhui/lyq/ts-1/titi/h2o/chu/h_b</t>
  </si>
  <si>
    <t>/home/xiuhui/lyq/ts-1/titi/3/mo_new</t>
  </si>
  <si>
    <t>/home/xiuhui/lyq/ts-1/tiv/h2o2</t>
  </si>
  <si>
    <t>/home/xiuhui/lyq/ts-1/tiv/2h+ooh/h_a</t>
  </si>
  <si>
    <t>/home/xiuhui/lyq/ts-1/tiv/h2o/chu/h_b</t>
  </si>
  <si>
    <t>/home/xiuhui/lyq/ts-1/tiv/2h+ooh/ooh</t>
  </si>
  <si>
    <t>/home/xiuhui/lyq/ts-1/tiv/3/chu2/c6h12</t>
  </si>
  <si>
    <t>/home/xiuhui/lyq/ts-1/tiv/3/mo/c6h12o</t>
  </si>
  <si>
    <t>/home/xiuhui/lyq/ts-1/tiv/h2o/chu/o</t>
  </si>
  <si>
    <t>/home/xiuhui/lyq/ts-1/tiv/6o+oh/oh</t>
  </si>
  <si>
    <t>/home/xiuhui/lyq/ts-1/tiv/6o+oh/h2o</t>
  </si>
  <si>
    <t>Ti-Cr</t>
  </si>
  <si>
    <t>-</t>
  </si>
  <si>
    <t>Ti-Ni</t>
  </si>
  <si>
    <t>Ti</t>
  </si>
  <si>
    <t>Ea活化能 (eV)</t>
    <phoneticPr fontId="1" type="noConversion"/>
  </si>
  <si>
    <t>催化剂</t>
    <phoneticPr fontId="1" type="noConversion"/>
  </si>
  <si>
    <t>Ga活化能 (eV)</t>
    <phoneticPr fontId="1" type="noConversion"/>
  </si>
  <si>
    <t>/home/xiuhui/lyq/ts-1/tire/2o+ooh/h2o2</t>
  </si>
  <si>
    <t>/home/xiuhui/lyq/ts-1/tire/2o+ooh/ooh</t>
  </si>
  <si>
    <t>/home/xiuhui/lyq/ts-1/tire/3/chu/c6h12</t>
  </si>
  <si>
    <t>/home/xiuhui/lyq/ts-1/tire/2o+ooh/o</t>
  </si>
  <si>
    <t>/home/xiuhui/lyq/ts-1/tire/6oh+h/oh</t>
  </si>
  <si>
    <t>/home/xiuhui/lyq/ts-1/tire/6oh+h/h2o</t>
  </si>
  <si>
    <t>/home/xiuhui/lyq/ts-1/tire/h2o/chu/h_b</t>
    <phoneticPr fontId="1" type="noConversion"/>
  </si>
  <si>
    <t>/home/liyaqian/node01data/ts-1/mfi/si66o98h68tife/ts-bader</t>
    <phoneticPr fontId="1" type="noConversion"/>
  </si>
  <si>
    <t>/home/liyaqian/node01data/ts-1/mfi/si66o98h68/test5/tife/tiofe-t/h2o2</t>
  </si>
  <si>
    <t>/home/liyaqian/node01data/ts-1/mfi/si66o98h68/test5/tife/tiofe-t/ooh</t>
  </si>
  <si>
    <t>/home/liyaqian/node01data/ts-1/mfi/si66o98h68/test5/tife/tiofe-t/h_a</t>
  </si>
  <si>
    <t>/home/liyaqian/node01data/ts-1/mfi/si66o98h68/1-hex+ooh+h/chu3/c6h12</t>
  </si>
  <si>
    <t>/home/liyaqian/node01data/ts-1/mfi/si66o98h68/1-hex+ooh+h/6h2o-ts/chu/h_b</t>
  </si>
  <si>
    <t>/home/liyaqian/node01data/ts-1/mfi/si66o98h68/1-hex+ooh+h/mo4/c6h12o</t>
  </si>
  <si>
    <t>/home/liyaqian/node01data/ts-1/mfi/si66o98h68/1-hex+ooh+h/6h2o-ts/chu/o</t>
    <phoneticPr fontId="1" type="noConversion"/>
  </si>
  <si>
    <t>/home/liyaqian/node01data/ts-1/mfi/si66o98h68/1-hex+ooh+h/6h2o-ts/chu/oh</t>
  </si>
  <si>
    <t>/home/liyaqian/node01data/ts-1/mfi/si66o98h68/1-hex+ooh+h/6h2o-ts/chu/h2o</t>
  </si>
  <si>
    <t>/home/liyaqian/node01data/ts-1/mfi/tihf/6h+oh/h_b</t>
  </si>
  <si>
    <t>/home/liyaqian/node01data/ts-1/mfi/tihf/6h+oh/oh</t>
  </si>
  <si>
    <t>/home/liyaqian/node01data/ts-1/mfi/tihf/2h+oh/ooh</t>
  </si>
  <si>
    <t>/home/liyaqian/node01data/ts-1/mfi/tihf/2h+oh/o</t>
  </si>
  <si>
    <t>/home/liyaqian/node01data/ts-1/mfi/tihf/6h+oh/h2o</t>
  </si>
  <si>
    <t>/home/zhengxiuhui/node03data/lyq/ts-1/timo/2h+ooh/h2o2</t>
  </si>
  <si>
    <t>/home/liyaqian/node01data/ts-1/mfi/tizr/2o+ooh/o</t>
  </si>
  <si>
    <t>/home/liyaqian/node01data/ts-1/mfi/tizr/2o+ooh/h_a</t>
  </si>
  <si>
    <t>/home/liyaqian/node01data/ts-1/mfi/tizr/3/chu2/c6h12</t>
  </si>
  <si>
    <t>/home/liyaqian/node01data/ts-1/mfi/tizr/3/mo/c6h12o</t>
  </si>
  <si>
    <t>/home/liyaqian/node01data/ts-1/mfi/tizr/6o+oh/oh</t>
  </si>
  <si>
    <t>/home/liyaqian/node01data/ts-1/mfi/tizr/6o+oh/h2o</t>
  </si>
  <si>
    <t>/home/xiuhui/lyq/ts-1/ticr/2ooh+h/h2o2</t>
  </si>
  <si>
    <t>/home/xiuhui/lyq/ts-1/ticr/2ooh+h/h_a</t>
  </si>
  <si>
    <t>/home/zhengxiuhui/node03data/lyq/ts-1/timo/2h+ooh/h_a</t>
  </si>
  <si>
    <t>/home/zhengxiuhui/node03data/lyq/ts-1/timo/2h+ooh/ooh</t>
  </si>
  <si>
    <t>/home/zhengxiuhui/node03data/lyq/ts-1/timo/2h+ooh/o</t>
  </si>
  <si>
    <t>/home/zhengxiuhui/node03data/lyq/ts-1/timo/3/chu2/c6h12</t>
  </si>
  <si>
    <t>/home/zhengxiuhui/node03data/lyq/ts-1/timo/3/mo/c6h12o</t>
  </si>
  <si>
    <t>/home/zhengxiuhui/node03data/lyq/ts-1/timo/6o+oh/oh</t>
  </si>
  <si>
    <t>/home/zhengxiuhui/node03data/lyq/ts-1/timo/6o+oh/h2o</t>
  </si>
  <si>
    <t>/home/xiuhui/lyq/ts-1/ticr/2ooh+h/o</t>
  </si>
  <si>
    <t>/home/xiuhui/lyq/ts-1/ticr/3/chu/c6h12</t>
  </si>
  <si>
    <t>/home/xiuhui/lyq/ts-1/ticr/3/chu/c6h12o</t>
  </si>
  <si>
    <t>/home/xiuhui/lyq/ts-1/ticr/3/chu/oh</t>
  </si>
  <si>
    <t>/home/xiuhui/lyq/ts-1/ticr/3/chu/h2o</t>
  </si>
  <si>
    <t>/home/liyaqian/node01data/ts-1/mfi/ti/2ooh+h/h2o2</t>
  </si>
  <si>
    <t>/home/liyaqian/node01data/ts-1/mfi/ti/2ooh+h/ooh</t>
  </si>
  <si>
    <t>/home/liyaqian/node01data/ts-1/mfi/ti/2ooh+h/o</t>
  </si>
  <si>
    <t>/home/liyaqian/node01data/ts-1/mfi/ti/2ooh+h/h_a</t>
  </si>
  <si>
    <t>/home/liyaqian/node01data/ts-1/mfi/ti/6/oh</t>
  </si>
  <si>
    <t>/home/liyaqian/node01data/ts-1/mfi/ti/6/h2o</t>
  </si>
  <si>
    <t>/home/liyaqian/node01data/ts-1/mfi/ti/3/chu/c6h12</t>
  </si>
  <si>
    <t>/home/liyaqian/node01data/ts-1/mfi/ti/3/mo/c6h12o</t>
  </si>
  <si>
    <t>/home/liyaqian/node01data/ts-1/mfi/ti/h2o/chu2/h_b</t>
  </si>
  <si>
    <t>/home/liyaqian/node01data/ts-1/mfi/tini/2ooh+h/h2o2</t>
  </si>
  <si>
    <t>/home/liyaqian/node01data/ts-1/mfi/tini/2ooh+h/h_a</t>
  </si>
  <si>
    <t>/home/liyaqian/node01data/ts-1/mfi/tini/2ooh+h/o</t>
  </si>
  <si>
    <t>/home/zhengxiuhui/node03data/lyq/ts-1/tini/6oh+h/oh</t>
  </si>
  <si>
    <t>/home/zhengxiuhui/node03data/lyq/ts-1/tini/6oh+h/h2o</t>
  </si>
  <si>
    <t>/home/liyaqian/node01data/ts-1/mfi/tini/3/chu/h_b</t>
  </si>
  <si>
    <t>/home/zhengxiuhui/node03data/lyq/ts-1/timn/ooh</t>
  </si>
  <si>
    <t>/home/zhengxiuhui/node03data/lyq/ts-1/timn/o</t>
  </si>
  <si>
    <t>/home/zhengxiuhui/node03data/lyq/ts-1/timn/h2o</t>
  </si>
  <si>
    <t>/home/zhengxiuhui/node03data/lyq/ts-1/timn/c6h12</t>
  </si>
  <si>
    <t>/home/zhengxiuhui/node03data/lyq/ts-1/timn/c6h12o</t>
  </si>
  <si>
    <t>/home/xiuhui/lyq/ts-1/tico/h2o2</t>
  </si>
  <si>
    <t>/home/xiuhui/lyq/ts-1/tico/ooh</t>
  </si>
  <si>
    <t>/home/xiuhui/lyq/ts-1/tico/h_a</t>
  </si>
  <si>
    <t>/home/xiuhui/lyq/ts-1/tico/o</t>
  </si>
  <si>
    <t>/home/xiuhui/lyq/ts-1/tico/oh</t>
  </si>
  <si>
    <t>/home/xiuhui/lyq/ts-1/tico/h_b</t>
  </si>
  <si>
    <t>/home/xiuhui/lyq/ts-1/tico/h2o</t>
  </si>
  <si>
    <t>/home/xiuhui/lyq/ts-1/tico/c6h12</t>
  </si>
  <si>
    <t>/home/xiuhui/lyq/ts-1/tico/c6h12o</t>
  </si>
  <si>
    <t>/home/liyaqian/node01data/ts-1/mfi/tiw/catmap/h2o2</t>
  </si>
  <si>
    <t>/home/liyaqian/node01data/ts-1/mfi/tiw/catmap/ooh</t>
  </si>
  <si>
    <t>/home/liyaqian/node01data/ts-1/mfi/tiw/catmap/h_a</t>
  </si>
  <si>
    <t>/home/liyaqian/node01data/ts-1/mfi/tiw/catmap/o</t>
  </si>
  <si>
    <t>/home/liyaqian/node01data/ts-1/mfi/tiw/catmap/oh</t>
  </si>
  <si>
    <t>/home/liyaqian/node01data/ts-1/mfi/tiw/catmap/h2o</t>
  </si>
  <si>
    <t>/home/liyaqian/node01data/ts-1/mfi/tiw/catmap/c6h12</t>
  </si>
  <si>
    <t>/home/liyaqian/node01data/ts-1/mfi/tiw/catmap/c6h12o</t>
  </si>
  <si>
    <t>/home/liyaqian/node01data/ts-1/mfi/tiw/catmap/h_b</t>
  </si>
  <si>
    <t>/home/liyaqian/node01data/ts-1/mfi/tita/catmap/h2o2</t>
  </si>
  <si>
    <t>/home/liyaqian/node01data/ts-1/mfi/tita/catmap/ooh</t>
  </si>
  <si>
    <t>/home/liyaqian/node01data/ts-1/mfi/tita/catmap/h_a</t>
  </si>
  <si>
    <t>/home/liyaqian/node01data/ts-1/mfi/ticr/catmap/h_b</t>
  </si>
  <si>
    <t>/home/liyaqian/node01data/ts-1/mfi/tita/catmap/o</t>
  </si>
  <si>
    <t>/home/liyaqian/node01data/ts-1/mfi/tita/catmap/oh</t>
  </si>
  <si>
    <t>/home/liyaqian/node01data/ts-1/mfi/tita/catmap/h2o</t>
  </si>
  <si>
    <t>/home/liyaqian/node01data/ts-1/mfi/tita/catmap/c6h12</t>
  </si>
  <si>
    <t>/home/liyaqian/node01data/ts-1/mfi/tita/catmap/c6h12o</t>
  </si>
  <si>
    <t>/home/liyaqian/node01data/ts-1/mfi/tita/catmap/h_b</t>
  </si>
  <si>
    <t>/home/zhengxiuhui/node03data/lyq/ts-1/timo/2h+ooh/h_b</t>
  </si>
  <si>
    <t>/home/xiuhui/lyq/ts-1/tire/6oh+h</t>
    <phoneticPr fontId="1" type="noConversion"/>
  </si>
  <si>
    <t xml:space="preserve"> </t>
    <phoneticPr fontId="1" type="noConversion"/>
  </si>
  <si>
    <t>/home/liyaqian/node01data/ts-1/mfi/ticr/catmap/ooh</t>
  </si>
  <si>
    <t>/home/zhengxiuhui/node03data/lyq/ts-1/timn/h2o2</t>
    <phoneticPr fontId="1" type="noConversion"/>
  </si>
  <si>
    <t>/home/zhengxiuhui/node03data/lyq/ts-1/timn/h_a</t>
    <phoneticPr fontId="1" type="noConversion"/>
  </si>
  <si>
    <t>/home/zhengxiuhui/node03data/lyq/ts-1/timn/h_b</t>
    <phoneticPr fontId="1" type="noConversion"/>
  </si>
  <si>
    <t>/home/liyaqian/node01data/ts-1/mfi/tihf/2h+oh/h2o2</t>
    <phoneticPr fontId="1" type="noConversion"/>
  </si>
  <si>
    <t>/home/liyaqian/node01data/ts-1/mfi/tihf/6h+oh/h_a</t>
    <phoneticPr fontId="1" type="noConversion"/>
  </si>
  <si>
    <t>/home/liyaqian/node01data/ts-1/mfi/tihf/3/chu/c6h12</t>
    <phoneticPr fontId="1" type="noConversion"/>
  </si>
  <si>
    <t>/home/liyaqian/node01data/ts-1/mfi/tihf/3/mo/c6h12o</t>
    <phoneticPr fontId="1" type="noConversion"/>
  </si>
  <si>
    <t>/home/xiuhui/lyq/ts-1/tire/2o+ooh/h_a</t>
    <phoneticPr fontId="1" type="noConversion"/>
  </si>
  <si>
    <t>/home/liyaqian/node01data/ts-1/mfi/tizr/2o+ooh/h2o2</t>
    <phoneticPr fontId="1" type="noConversion"/>
  </si>
  <si>
    <t>/home/liyaqian/node01data/ts-1/mfi/tizr/h2o/chu/h_b</t>
    <phoneticPr fontId="1" type="noConversion"/>
  </si>
  <si>
    <t>/home/liyaqian/node01data/ts-1/mfi/tizr/2o+ooh/ooh</t>
    <phoneticPr fontId="1" type="noConversion"/>
  </si>
  <si>
    <r>
      <t>Δ</t>
    </r>
    <r>
      <rPr>
        <sz val="11"/>
        <color theme="1"/>
        <rFont val="等线"/>
        <family val="3"/>
        <charset val="134"/>
      </rPr>
      <t>G</t>
    </r>
    <phoneticPr fontId="1" type="noConversion"/>
  </si>
  <si>
    <t>2和3
基元步骤</t>
    <phoneticPr fontId="1" type="noConversion"/>
  </si>
  <si>
    <t>ooh
ΔG吸附能</t>
    <phoneticPr fontId="1" type="noConversion"/>
  </si>
  <si>
    <t>c6h12
ΔG吸附能</t>
    <phoneticPr fontId="1" type="noConversion"/>
  </si>
  <si>
    <t>TiMn</t>
  </si>
  <si>
    <t>TiHf</t>
  </si>
  <si>
    <t>TiRe</t>
  </si>
  <si>
    <t>TiNb</t>
  </si>
  <si>
    <t>TiMo</t>
  </si>
  <si>
    <t>TiV</t>
  </si>
  <si>
    <t>TiZr</t>
  </si>
  <si>
    <t>TiCo</t>
  </si>
  <si>
    <t>TiTi</t>
  </si>
  <si>
    <t>TiW</t>
  </si>
  <si>
    <t>TiTa</t>
  </si>
  <si>
    <t>TiCr</t>
  </si>
  <si>
    <t>单核Ti</t>
  </si>
  <si>
    <t>TiNi</t>
  </si>
  <si>
    <t xml:space="preserve">692.379542 cm-1 </t>
  </si>
  <si>
    <t>/home/liyaqian/node01data/ts-1/mfi/si66o98h68tife/catmap/ooh-c6h12</t>
  </si>
  <si>
    <t>/home/liyaqian/node01data/ts-1/mfi/timn/catmap/ooh-c6h12</t>
  </si>
  <si>
    <t>/home/liyaqian/node01data/ts-1/mfi/tihf/ooh-c6h12</t>
  </si>
  <si>
    <t>/home/xiuhui/lyq/ts-1/tire/ooh-c6h12</t>
  </si>
  <si>
    <t>/home/liyaqian/node01data/ts-1/mfi/timo/catmap/ooh-c6h12</t>
  </si>
  <si>
    <t>/home/liyaqian/node01data/ts-1/mfi/tiv/catmap/ooh-c6h12</t>
  </si>
  <si>
    <t>/home/liyaqian/node01data/ts-1/mfi/tizr/ooh-c6h12</t>
  </si>
  <si>
    <t>/home/liyaqian/node01data/ts-1/mfi/tico/catmap/ooh-c6h12</t>
  </si>
  <si>
    <t>/home/liyaqian/node01data/ts-1/mfi/titi/catmap/ooh-c6h12</t>
  </si>
  <si>
    <t>/home/liyaqian/node01data/ts-1/mfi/tiw/catmap/ooh-c6h12</t>
  </si>
  <si>
    <t>/home/liyaqian/node01data/ts-1/mfi/ticr/catmap/ooh-c6h12</t>
  </si>
  <si>
    <t>/home/liyaqian/node01data/ts-1/mfi/ti/ooh-c6h12</t>
  </si>
  <si>
    <t>/home/liyaqian/node01data/ts-1/mfi/tini/ooh-c6h12</t>
  </si>
  <si>
    <t>/home/liyaqian/node01data/ts-1/mfi/tini/3/chu/c6h12</t>
    <phoneticPr fontId="1" type="noConversion"/>
  </si>
  <si>
    <t>/home/liyaqian/node01data/ts-1/mfi/tini/2ooh+h/ooh</t>
    <phoneticPr fontId="1" type="noConversion"/>
  </si>
  <si>
    <t>/home/liyaqian/node01data/ts-1/mfi/tini/3/chu/c6h12o</t>
    <phoneticPr fontId="1" type="noConversion"/>
  </si>
  <si>
    <t>/home/zhengxiuhui/node03data/lyq/ts-1/timn/oh</t>
    <phoneticPr fontId="1" type="noConversion"/>
  </si>
  <si>
    <t>/home/zhengxiuhui/node03data/lyq/ts-1/timn/6/01-7</t>
  </si>
  <si>
    <t>(C6H12O)(H2O)*</t>
    <phoneticPr fontId="1" type="noConversion"/>
  </si>
  <si>
    <t>H_b*+O*+H_a*</t>
    <phoneticPr fontId="1" type="noConversion"/>
  </si>
  <si>
    <t>OH*+H_a*</t>
    <phoneticPr fontId="1" type="noConversion"/>
  </si>
  <si>
    <t>总</t>
  </si>
  <si>
    <t>/home/zhengxiuhui/node02data/lyq/ts-1/timn/3/mo/freq</t>
    <phoneticPr fontId="1" type="noConversion"/>
  </si>
  <si>
    <t>/home/zhengxiuhui/node02data/lyq/ts-1/timn/6h+oh/freq</t>
    <phoneticPr fontId="1" type="noConversion"/>
  </si>
  <si>
    <t>/home/liyaqian/node01data/ts-1/mfi/tihf/7/freq</t>
    <phoneticPr fontId="1" type="noConversion"/>
  </si>
  <si>
    <t>/home/liyaqian/node01data/ts-1/mfi/tihf/3/mo/freq</t>
    <phoneticPr fontId="1" type="noConversion"/>
  </si>
  <si>
    <t>/home/xiuhui/lyq/ts-1/tire/3/mo/freq</t>
    <phoneticPr fontId="1" type="noConversion"/>
  </si>
  <si>
    <t>/home/xiuhui/lyq/ts-1/tire/6oh+h/freq</t>
    <phoneticPr fontId="1" type="noConversion"/>
  </si>
  <si>
    <t>/home/liyaqian/node01data/ts-1/mfi/tinb/6h+oh/freq</t>
    <phoneticPr fontId="1" type="noConversion"/>
  </si>
  <si>
    <t>/home/xiuhui/lyq/ts-1/tiv/6o+oh/freq</t>
    <phoneticPr fontId="1" type="noConversion"/>
  </si>
  <si>
    <t>/home/liyaqian/node01data/ts-1/mfi/tizr/6o+oh/freq</t>
    <phoneticPr fontId="1" type="noConversion"/>
  </si>
  <si>
    <t>/home/zhengxiuhui/node02data/lyq/ts-1/tico/3/mo2/freq</t>
    <phoneticPr fontId="1" type="noConversion"/>
  </si>
  <si>
    <t>C6H12O+(H2O)*</t>
    <phoneticPr fontId="1" type="noConversion"/>
  </si>
  <si>
    <t>/home/zhengxiuhui/node03data/lyq/ts-1/tita/3/mo/freq</t>
    <phoneticPr fontId="1" type="noConversion"/>
  </si>
  <si>
    <t>/home/zhengxiuhui/node02data/lyq/ts-1/tico/h2o/neb1-1/01/01-5</t>
  </si>
  <si>
    <t>/home/liyaqian/node01data/ts-1/mfi/ti/h2o/neb1-1/02/81-opt</t>
  </si>
  <si>
    <t>/home/zhengxiuhui/node02data/lyq/ts-1/tini/h2o/neb1-1/01/23-opt</t>
  </si>
  <si>
    <t>/home/zhengxiuhui/node02data/lyq/ts-1/timn/h2o/neb1-1/01/7-opt</t>
  </si>
  <si>
    <t>/home/zhengxiuhui/node02data/lyq/ts-1/tita/h2o/neb1-1/01</t>
    <phoneticPr fontId="1" type="noConversion"/>
  </si>
  <si>
    <t>OOH</t>
    <phoneticPr fontId="1" type="noConversion"/>
  </si>
  <si>
    <t>单原子化学势</t>
    <phoneticPr fontId="1" type="noConversion"/>
  </si>
  <si>
    <t>/home/liyaqian/node01data/C216</t>
    <phoneticPr fontId="1" type="noConversion"/>
  </si>
  <si>
    <t>/home/liyaqian/node01data/O2</t>
  </si>
  <si>
    <t>/home/liyaqian/node01data/ts-1/mfi/tita/catmap/ooh-c6h12</t>
    <phoneticPr fontId="1" type="noConversion"/>
  </si>
  <si>
    <t>/home/liyaqian/node01data/ts-1/mfi/tiw/h2o/neb1-1</t>
  </si>
  <si>
    <t>/home/zhengxiuhui/node03data/lyq/ts-1/timo/h2o/neb1-1/01/01-4freq</t>
  </si>
  <si>
    <t>/home/liyaqian/node01data/ts-1/mfi/ti/h2o/neb1-1/02/81-opt/1303-opt</t>
  </si>
  <si>
    <t>/home/liyaqian/node01data/ts-1/mfi/si66o98h68/1-hex+ooh+h/6h2o-ts/ts/01/ts2</t>
  </si>
  <si>
    <t>/home/zhengxiuhui/node03data/lyq/ts-1/timo/h2o/neb1-1/01/01-4freq/1581-opt</t>
  </si>
  <si>
    <t>/home/liyaqian/node01data/H2-ent/freq</t>
  </si>
  <si>
    <t>/home/zhengxiuhui/node03data/lyq/ts-1/ooh</t>
  </si>
  <si>
    <t>/home/liyaqian/node01data/ts-1/mfi/tinb/catmap/h_a</t>
  </si>
  <si>
    <t>TiM-OOH的d带中心</t>
    <phoneticPr fontId="1" type="noConversion"/>
  </si>
  <si>
    <t>/home/vasp/li/ts-1/tim-ooh_dband/timn</t>
  </si>
  <si>
    <t>/home/vasp/li/ts-1/tim-ooh_dband/tihf</t>
  </si>
  <si>
    <t>/home/zhengxiuhui/node03data/lyq/ts-1/tita/2h+ooh/freq</t>
    <phoneticPr fontId="1" type="noConversion"/>
  </si>
  <si>
    <t>/home/liyaqian/node01data/ts-1/mfi/tizr/3/neb1-1/02/9-idm/413-opt/differential_charge/AB</t>
    <phoneticPr fontId="1" type="noConversion"/>
  </si>
  <si>
    <t>O-O的ICOHP</t>
    <phoneticPr fontId="1" type="noConversion"/>
  </si>
  <si>
    <t>Ti的Bader</t>
    <phoneticPr fontId="1" type="noConversion"/>
  </si>
  <si>
    <t>M的Bader</t>
    <phoneticPr fontId="1" type="noConversion"/>
  </si>
  <si>
    <t>57号ti-o的
o的Bader</t>
    <phoneticPr fontId="1" type="noConversion"/>
  </si>
  <si>
    <t>56号o-o的
o的Bader</t>
    <phoneticPr fontId="1" type="noConversion"/>
  </si>
  <si>
    <t>/home/zhengxiuhui/node03data/lyq/ts-1/tiw/h2o/neb2-1/01</t>
    <phoneticPr fontId="1" type="noConversion"/>
  </si>
  <si>
    <t>1073.260752 cm-1</t>
  </si>
  <si>
    <t>/home/zhengxiuhui/node02data/lyq/ts-1/tico/h2o/neb1-1/01/01-5/1073-opt</t>
  </si>
  <si>
    <t>/home/liyaqian/node01data/ts-1/mfi/si66o98h68/1-hex+ooh+h/6h2o-ts/ts/01/ts2/563-opt</t>
  </si>
  <si>
    <t>/home/zhengxiuhui/node02data/lyq/ts-1/tini/h2o/neb1-1/01/23-opt/842-opt</t>
  </si>
  <si>
    <t>/home/zhengxiuhui/node02data/lyq/ts-1/ticr/h2o/neb1-1/neb0-3</t>
  </si>
  <si>
    <t>/home/zhengxiuhui/node02data/lyq/ts-1/timn/h2o/neb1-1/01/7-opt/1070-opt</t>
  </si>
  <si>
    <t>/home/xiuhui/lyq/ts-1/ti/h2o/neb1-3/ini</t>
  </si>
  <si>
    <t>/home/xiuhui/lyq/ts-1/ti/h2o/neb1-3/fin</t>
  </si>
  <si>
    <t>ti的得失电子</t>
    <phoneticPr fontId="1" type="noConversion"/>
  </si>
  <si>
    <t>M的得失电子</t>
    <phoneticPr fontId="1" type="noConversion"/>
  </si>
  <si>
    <t>O的的得失电子</t>
    <phoneticPr fontId="1" type="noConversion"/>
  </si>
  <si>
    <t>TiFe</t>
  </si>
  <si>
    <t>M的自旋向上
d带中心</t>
    <phoneticPr fontId="1" type="noConversion"/>
  </si>
  <si>
    <t>M的自旋向下
d带中心</t>
    <phoneticPr fontId="1" type="noConversion"/>
  </si>
  <si>
    <t>自旋分裂差值</t>
    <phoneticPr fontId="1" type="noConversion"/>
  </si>
  <si>
    <t>无过渡态？</t>
    <phoneticPr fontId="1" type="noConversion"/>
  </si>
  <si>
    <t>/home/liyaqian/node01data/ts-1/mfi/si66o98h68/1-hex+ooh+h/6h2o-ts/chu2</t>
  </si>
  <si>
    <t>/home/zhengxiuhui/node02data/lyq/ts-1/ticr/h2o/neb1-1/neb0-3_new</t>
  </si>
  <si>
    <t>/home/liyaqian/node01data/ts-1/mfi/ti/h2o/neb1-1/neb1-3/02</t>
    <phoneticPr fontId="1" type="noConversion"/>
  </si>
  <si>
    <t xml:space="preserve"> </t>
    <phoneticPr fontId="1" type="noConversion"/>
  </si>
  <si>
    <t>/home/vasp/li/ts-1/tire/neb1-1/00</t>
    <phoneticPr fontId="1" type="noConversion"/>
  </si>
  <si>
    <t>/home/liyaqian/node01data/ts-1/mfi/tihf/h2o/chu2</t>
  </si>
  <si>
    <t>/home/zhengxiuhui/node02data/lyq/ts-1/ticr/h2o/neb1-1/neb0-3_new/01</t>
  </si>
  <si>
    <t>/home/zhengxiuhui/node02data/lyq/ts-1/ticr/h2o/mo2</t>
  </si>
  <si>
    <t>/home/liyaqian/node01data/ts-1/mfi/si66o98h68/1-hex+ooh+h/6h2o-ts/chu3</t>
  </si>
  <si>
    <t>/home/liyaqian/node01data/ts-1/mfi/tizr/h2o/chu2</t>
  </si>
  <si>
    <t>/home/liyaqian/node01data/ts-1/mfi/ti/h2o/chu3</t>
  </si>
  <si>
    <t>/home/zhengxiuhui/node02data/lyq/ts-1/ticr/h2o/neb2-2</t>
  </si>
  <si>
    <t>/home/liyaqian/node01data/ts-1/mfi/ti/h2o/neb1-1/neb1-3/neb1-3</t>
  </si>
  <si>
    <t>/home/liyaqian/node01data/ts-1/mfi/tizr/h2o/mo2</t>
  </si>
  <si>
    <t>/home/zhengxiuhui/node02data/lyq/ts-1/ticr/h2o/neb2-2/neb1-2</t>
  </si>
  <si>
    <t>/home/liyaqian/node01data/ts-1/mfi/tihf/h2o/mo3</t>
  </si>
  <si>
    <t>/home/liyaqian/node01data/ts-1/mfi/tihf/h2o/chu3</t>
  </si>
  <si>
    <t>/home/liyaqian/node01data/ts-1/mfi/tizr/h2o/mo3</t>
  </si>
  <si>
    <t>/home/liyaqian/node01data/ts-1/mfi/si66o98h68/1-hex+ooh+h/6h2o-ts/mo2</t>
  </si>
  <si>
    <t>/home/liyaqian/node01data/ts-1/mfi/ti/h2o/neb1-1/neb1-3/neb1-3/neb1-2</t>
  </si>
  <si>
    <t>过渡态降低
到0.71</t>
    <phoneticPr fontId="1" type="noConversion"/>
  </si>
  <si>
    <t>/home/liyaqian/node01data/ts-1/mfi/ti/h2o/neb1-1/neb1-3/neb1-3/neb1-2/neb1-4</t>
  </si>
  <si>
    <t>能量一直上升</t>
    <phoneticPr fontId="1" type="noConversion"/>
  </si>
  <si>
    <t>/home/liyaqian/node01data/ts-1/mfi/si66o98h68/1-hex+ooh+h/6h2o-ts/neb3-2</t>
  </si>
  <si>
    <t>/home/liyaqian/node01data/ts-1/mfi/ti/h2o/ts2-lasp</t>
  </si>
  <si>
    <t>/home/liyaqian/node01data/ts-1/mfi/tihf/h2o/mo4</t>
  </si>
  <si>
    <t>835.120381 cm-1</t>
  </si>
  <si>
    <t>/home/zhengxiuhui/node02data/lyq/ts-1/ticr/h2o/chu3</t>
  </si>
  <si>
    <t>/home/liyaqian/node01data/ts-1/mfi/tizr/h2o/chu3</t>
  </si>
  <si>
    <t>/home/liyaqian/node01data/ts-1/mfi/tizr/h2o/mo4</t>
  </si>
  <si>
    <t>/home/liyaqian/node01data/ts-1/mfi/tizr/h2o/neb3-4</t>
  </si>
  <si>
    <t>/home/zhengxiuhui/node02data/lyq/ts-1/ticr/h2o/ts-lasp</t>
  </si>
  <si>
    <t>/home/liyaqian/node01data/ts-1/mfi/si66o98h68/1-hex+ooh+h/6h2o-ts/neb3-2/01</t>
    <phoneticPr fontId="1" type="noConversion"/>
  </si>
  <si>
    <t>/home/liyaqian/node01data/ts-1/mfi/tizr/h2o/neb1-1/01/5-opt/1624-opt</t>
    <phoneticPr fontId="1" type="noConversion"/>
  </si>
  <si>
    <t>/home/zhengxiuhui/node03data/lyq/ts-1/tihf/h2o/chu5</t>
  </si>
  <si>
    <t>/home/zhengxiuhui/node03data/lyq/ts-1/tire/catmap/c6h12o</t>
    <phoneticPr fontId="1" type="noConversion"/>
  </si>
  <si>
    <t>/home/xiuhui/lyq/ts-1/titi/h2o/neb1-1/01</t>
    <phoneticPr fontId="1" type="noConversion"/>
  </si>
  <si>
    <t>/home/xiuhui/lyq/ts-1/tiv/h2o/chu/freq</t>
  </si>
  <si>
    <t>/home/xiuhui/lyq/ts-1/tiv/h2o/neb1-1/01/freq</t>
  </si>
  <si>
    <t>/home/liyaqian/node01data/ts-1/mfi/ti/h2o/chu4</t>
  </si>
  <si>
    <t>1140.686585 cm-1</t>
  </si>
  <si>
    <t>/home/zhengxiuhui/node02data/lyq/ts-1/ticr/h2o/ts-lasp/1140-opt</t>
  </si>
  <si>
    <t>/home/liyaqian/node01data/ts-1/mfi/tihf/h2o/chu5</t>
    <phoneticPr fontId="1" type="noConversion"/>
  </si>
  <si>
    <t>/home/xiuhui/lyq/ts-1/tire/h2o/chu2</t>
  </si>
  <si>
    <t>/home/liyaqian/node01data/ts-1/mfi/tihf/6h+oh/h2o</t>
    <phoneticPr fontId="1" type="noConversion"/>
  </si>
  <si>
    <t>/home/zhengxiuhui/node02data/lyq/ts-1/tini/h2o/neb1-1/01/23-opt/842-opt/freq</t>
  </si>
  <si>
    <t>/home/liyaqian/node01data/ts-1/mfi/ti/h2o/ts2-lasp/835-opt/freq</t>
  </si>
  <si>
    <t>/home/zhengxiuhui/node02data/lyq/ts-1/tita/h2o/neb1-1/01/freq</t>
  </si>
  <si>
    <t>/home/zhengxiuhui/node03data/lyq/ts-1/tiw/h2o/neb2-1/01/freq</t>
  </si>
  <si>
    <t>/home/zhengxiuhui/node02data/lyq/ts-1/tico/h2o/neb1-1/01/01-5/1073-opt/freq</t>
  </si>
  <si>
    <t>/home/liyaqian/node01data/ts-1/mfi/tizr/h2o/neb3-4/01/freq</t>
  </si>
  <si>
    <t>/home/zhengxiuhui/node03data/lyq/ts-1/timo/h2o/neb1-1/01/01-4freq/1581-opt/freq</t>
  </si>
  <si>
    <t>/home/liyaqian/node01data/ts-1/mfi/tihf/h2o/neb1-1/01/34-opt/1374-opt/freq</t>
  </si>
  <si>
    <t>/home/liyaqian/node01data/ts-1/mfi/si66o98h68/1-hex+ooh+h/6h2o-ts/neb3-2/01/freq</t>
  </si>
  <si>
    <t>/home/zhengxiuhui/node02data/lyq/ts-1/tini/h2o/chu/freq</t>
  </si>
  <si>
    <t>/home/liyaqian/node01data/ts-1/mfi/ti/h2o/chu4/freq</t>
  </si>
  <si>
    <t>/home/zhengxiuhui/node02data/lyq/ts-1/tita/h2o/chu/freq</t>
  </si>
  <si>
    <t>/home/zhengxiuhui/node02data/lyq/ts-1/tiw/h2o/chu2/freq</t>
  </si>
  <si>
    <t>/home/zhengxiuhui/node02data/lyq/ts-1/tico/h2o/chu/freq</t>
  </si>
  <si>
    <t>/home/liyaqian/node01data/ts-1/mfi/tizr/h2o/chu3/freq</t>
  </si>
  <si>
    <t>/home/liyaqian/node01data/ts-1/mfi/tihf/h2o/freq</t>
  </si>
  <si>
    <t>/home/zhengxiuhui/node02data/lyq/ts-1/timn/h2o/chu/freq</t>
  </si>
  <si>
    <t>/home/liyaqian/node01data/ts-1/mfi/tinb/h2o/chu/freq</t>
    <phoneticPr fontId="1" type="noConversion"/>
  </si>
  <si>
    <t>/home/liyaqian/node01data/ts-1/mfi/tinb/h2o/neb1-1/01/freq</t>
    <phoneticPr fontId="1" type="noConversion"/>
  </si>
  <si>
    <t>/home/zhengxiuhui/node02data/lyq/ts-1/timo/h2o/chu/freq</t>
    <phoneticPr fontId="1" type="noConversion"/>
  </si>
  <si>
    <t>/home/liyaqian/node01data/ts-1/mfi/si66o98h68/1-hex+ooh+h/6h2o-ts/chu3/freq</t>
    <phoneticPr fontId="1" type="noConversion"/>
  </si>
  <si>
    <t>/home/liyaqian/node01data/ts-1/mfi/tinb/catmap/h2o2</t>
  </si>
  <si>
    <t>/home/liyaqian/node01data/ts-1/mfi/tinb/catmap/h_b</t>
  </si>
  <si>
    <t>/home/liyaqian/node01data/ts-1/mfi/tinb/catmap/ooh</t>
  </si>
  <si>
    <t>/home/liyaqian/node01data/ts-1/mfi/tinb/3/chu7</t>
  </si>
  <si>
    <t>/home/liyaqian/node01data/ts-1/mfi/tinb/catmap/c6h12o</t>
  </si>
  <si>
    <t>/home/liyaqian/node01data/ts-1/mfi/tinb/catmap/o</t>
  </si>
  <si>
    <t>/home/liyaqian/node01data/ts-1/mfi/tinb/catmap/oh</t>
  </si>
  <si>
    <t>/home/liyaqian/node01data/ts-1/mfi/tinb/catmap/h2o</t>
  </si>
  <si>
    <t>/home/zhengxiuhui/node02data/lyq/ts-1/ticr/h2o/ts-lasp/1140-opt/freq</t>
  </si>
  <si>
    <t>/home/zhengxiuhui/node02data/lyq/ts-1/ticr/h2o/neb1-1/neb0-3_new/01/freq</t>
  </si>
  <si>
    <t>/home/liyaqian/node01data/ts-1/mfi/si66o98h68tife/catmap/hb_o</t>
  </si>
  <si>
    <t>/home/liyaqian/node01data/ts-1/mfi/tinb/3/chu9</t>
  </si>
  <si>
    <t>/home/zhengxiuhui/node03data/lyq/ts-1/timn/hb_o</t>
  </si>
  <si>
    <t>/home/zhengxiuhui/node02data/lyq/ts-1/tihf/hb_o</t>
  </si>
  <si>
    <t>/home/zhengxiuhui/node02data/lyq/ts-1/tinb/hb_o</t>
  </si>
  <si>
    <t>/home/zhengxiuhui/node03data/lyq/ts-1/timo/hb_o</t>
  </si>
  <si>
    <t>/home/zhengxiuhui/node02data/lyq/ts-1/tiv/hb_o</t>
  </si>
  <si>
    <t>/home/zhengxiuhui/node02data/lyq/ts-1/tico/hb_o</t>
  </si>
  <si>
    <t>/home/zhengxiuhui/node02data/lyq/ts-1/titi/hb_o</t>
  </si>
  <si>
    <t>/home/zhengxiuhui/node02data/lyq/ts-1/tiw/hb_o</t>
  </si>
  <si>
    <t>/home/zhengxiuhui/node02data/lyq/ts-1/tita/hb_o</t>
  </si>
  <si>
    <t>/home/zhengxiuhui/node02data/lyq/ts-1/ticr/hb_o</t>
  </si>
  <si>
    <t>/home/zhengxiuhui/node02data/lyq/ts-1/ti/hb_o</t>
  </si>
  <si>
    <t>/home/zhengxiuhui/node02data/lyq/ts-1/tini/hb_o</t>
  </si>
  <si>
    <t>/home/liyaqian/node01data/ts-1/mfi/tire/h2o/neb1-1</t>
  </si>
  <si>
    <t>/home/zhengxiuhui/node02data/lyq/ts-1/tizr/hb_o</t>
    <phoneticPr fontId="1" type="noConversion"/>
  </si>
  <si>
    <t>/home/liyaqian/node01data/ts-1/mfi/tinb/3/chu9_2</t>
  </si>
  <si>
    <t>/home/xiuhui/lyq/ts-1/tire/h2o/neb1-1_1/52-opt</t>
  </si>
  <si>
    <t>1506.522469 cm-1</t>
  </si>
  <si>
    <t>/home/xiuhui/lyq/ts-1/tire/h2o/neb1-1_1/52-opt/1506-opt</t>
  </si>
  <si>
    <t>/home/liyaqian/node01data/ts-1/mfi/tinb/3/neb9_2-1</t>
  </si>
  <si>
    <t>/home/liyaqian/node01data/ts-1/mfi/tinb/3/neb9_2-1/01/25-opt</t>
  </si>
  <si>
    <t>/home/liyaqian/node01data/ts-1/mfi/tinb/3/neb9_2-1/01/25-opt/79-opt</t>
  </si>
  <si>
    <t>/home/xiuhui/lyq/ts-1/tire/h2o/neb1-1_1/52-opt/1506-opt/freq</t>
  </si>
  <si>
    <t>/home/xiuhui/lyq/ts-1/tire/hb_o</t>
  </si>
  <si>
    <t>优化失败</t>
    <phoneticPr fontId="1" type="noConversion"/>
  </si>
  <si>
    <t>/home/liyaqian/node01data/ts-1/mfi/tinb/3/neb9_2-1/02/19-opt</t>
  </si>
  <si>
    <t>M-O（ooh）的ICOHP</t>
    <phoneticPr fontId="1" type="noConversion"/>
  </si>
  <si>
    <t>O57-Ti96/95
Ti-O（ooh）的ICOHP</t>
    <phoneticPr fontId="1" type="noConversion"/>
  </si>
  <si>
    <t>/home/liyaqian/node01data/ts-1/mfi/tinb/3/chu10</t>
  </si>
  <si>
    <t>/home/liyaqian/node01data/ts-1/mfi/tinb/3/chu11</t>
  </si>
  <si>
    <t>/home/liyaqian/node01data/ts-1/mfi/tinb/3/chu11/freq</t>
  </si>
  <si>
    <t>纯表面</t>
    <phoneticPr fontId="1" type="noConversion"/>
  </si>
  <si>
    <t>活性位发生
变形，吸附
能不准确</t>
    <phoneticPr fontId="1" type="noConversion"/>
  </si>
  <si>
    <t>/home/liyaqian/node01data/ts-1/mfi/tinb/catmap/ooh_c6h12</t>
    <phoneticPr fontId="1" type="noConversion"/>
  </si>
  <si>
    <t>/home/liyaqian/node01data/ts-1/mfi/si66o98h68tife/catmap/surface</t>
  </si>
  <si>
    <t>/home/liyaqian/node01data/ts-1/mfi/timn/catmap/surface</t>
  </si>
  <si>
    <t>/home/liyaqian/node01data/ts-1/mfi/tihf/catmap/surface</t>
  </si>
  <si>
    <t>/home/liyaqian/node01data/ts-1/mfi/tire/surface/surface</t>
  </si>
  <si>
    <t>/home/liyaqian/node01data/ts-1/mfi/tinb/catmap/surface</t>
  </si>
  <si>
    <t>/home/liyaqian/node01data/ts-1/mfi/timo/catmap/surface</t>
  </si>
  <si>
    <t>/home/liyaqian/node01data/ts-1/mfi/tizr/catmap/surface</t>
  </si>
  <si>
    <t>/home/liyaqian/node01data/ts-1/mfi/titi/catmap/surface</t>
  </si>
  <si>
    <t>/home/liyaqian/node01data/ts-1/mfi/tita/catmap/surface</t>
  </si>
  <si>
    <t>/home/liyaqian/node01data/ts-1/mfi/ticr/catmap/surface</t>
  </si>
  <si>
    <t>/home/liyaqian/node01data/ts-1/mfi/tini/catmap/surface</t>
  </si>
  <si>
    <t>/home/liyaqian/node01data/ts-1/mfi/tiv/catmap/surface</t>
    <phoneticPr fontId="1" type="noConversion"/>
  </si>
  <si>
    <t>/home/liyaqian/node01data/ts-1/mfi/tiw/catmap/surface</t>
    <phoneticPr fontId="1" type="noConversion"/>
  </si>
  <si>
    <t>/home/liyaqian/node01data/ts-1/mfi/ti/catmap/surface</t>
    <phoneticPr fontId="1" type="noConversion"/>
  </si>
  <si>
    <t>/home/liyaqian/node01data/ts-1/mfi/tico/catmap/surface</t>
    <phoneticPr fontId="1" type="noConversion"/>
  </si>
  <si>
    <t>/home/liyaqian/node01data/ts-1/mfi/tinb/catmap/c6h12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</si>
</sst>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2"/>
    </font>
    <font>
      <sz val="11"/>
      <color theme="1"/>
      <name val="Calibri"/>
      <family val="2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trike/>
      <sz val="11"/>
      <color theme="1"/>
      <name val="等线"/>
      <family val="3"/>
      <charset val="134"/>
      <scheme val="minor"/>
    </font>
    <font>
      <strike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2" borderId="0" xfId="0" applyFill="1"/>
    <xf numFmtId="14" fontId="0" fillId="0" borderId="0" xfId="0" applyNumberFormat="1"/>
    <xf numFmtId="0" fontId="2" fillId="0" borderId="0" xfId="0" applyFont="1"/>
    <xf numFmtId="0" fontId="0" fillId="0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0" fillId="0" borderId="9" xfId="0" applyBorder="1"/>
    <xf numFmtId="0" fontId="0" fillId="3" borderId="9" xfId="0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11" fillId="3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9" xfId="0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0" xfId="0" applyFill="1"/>
    <xf numFmtId="0" fontId="6" fillId="6" borderId="9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0" fillId="0" borderId="5" xfId="0" applyFill="1" applyBorder="1"/>
    <xf numFmtId="0" fontId="0" fillId="8" borderId="9" xfId="0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8" xfId="0" applyBorder="1"/>
    <xf numFmtId="0" fontId="0" fillId="0" borderId="9" xfId="0" applyFill="1" applyBorder="1"/>
    <xf numFmtId="0" fontId="0" fillId="10" borderId="9" xfId="0" applyFill="1" applyBorder="1"/>
    <xf numFmtId="0" fontId="0" fillId="0" borderId="9" xfId="0" applyFon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/>
    <xf numFmtId="0" fontId="10" fillId="0" borderId="4" xfId="0" applyFont="1" applyBorder="1" applyAlignment="1"/>
    <xf numFmtId="0" fontId="0" fillId="0" borderId="17" xfId="0" applyBorder="1" applyAlignment="1">
      <alignment horizontal="center"/>
    </xf>
    <xf numFmtId="0" fontId="15" fillId="0" borderId="0" xfId="0" applyFont="1"/>
    <xf numFmtId="0" fontId="15" fillId="0" borderId="9" xfId="0" applyFont="1" applyBorder="1"/>
    <xf numFmtId="0" fontId="15" fillId="0" borderId="14" xfId="0" applyFont="1" applyBorder="1"/>
    <xf numFmtId="0" fontId="0" fillId="0" borderId="13" xfId="0" applyFont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14" xfId="0" applyFont="1" applyFill="1" applyBorder="1" applyAlignment="1">
      <alignment horizontal="center"/>
    </xf>
    <xf numFmtId="0" fontId="0" fillId="0" borderId="14" xfId="0" applyFont="1" applyBorder="1"/>
    <xf numFmtId="0" fontId="0" fillId="4" borderId="9" xfId="0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14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0" fillId="6" borderId="14" xfId="0" applyFont="1" applyFill="1" applyBorder="1" applyAlignment="1">
      <alignment horizontal="center"/>
    </xf>
    <xf numFmtId="0" fontId="0" fillId="7" borderId="9" xfId="0" applyFont="1" applyFill="1" applyBorder="1" applyAlignment="1">
      <alignment horizontal="center"/>
    </xf>
    <xf numFmtId="0" fontId="0" fillId="7" borderId="14" xfId="0" applyFont="1" applyFill="1" applyBorder="1" applyAlignment="1">
      <alignment horizontal="center"/>
    </xf>
    <xf numFmtId="0" fontId="0" fillId="8" borderId="9" xfId="0" applyFont="1" applyFill="1" applyBorder="1" applyAlignment="1">
      <alignment horizontal="center"/>
    </xf>
    <xf numFmtId="0" fontId="0" fillId="8" borderId="14" xfId="0" applyFont="1" applyFill="1" applyBorder="1" applyAlignment="1">
      <alignment horizontal="center"/>
    </xf>
    <xf numFmtId="0" fontId="0" fillId="2" borderId="9" xfId="0" applyFill="1" applyBorder="1"/>
    <xf numFmtId="0" fontId="9" fillId="0" borderId="0" xfId="0" applyFont="1" applyAlignment="1">
      <alignment horizontal="center" wrapText="1"/>
    </xf>
    <xf numFmtId="0" fontId="14" fillId="0" borderId="13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4" fillId="0" borderId="0" xfId="0" applyFont="1"/>
    <xf numFmtId="0" fontId="0" fillId="0" borderId="15" xfId="0" applyFont="1" applyBorder="1" applyAlignment="1">
      <alignment horizontal="center"/>
    </xf>
    <xf numFmtId="0" fontId="0" fillId="0" borderId="16" xfId="0" applyFont="1" applyBorder="1"/>
    <xf numFmtId="0" fontId="0" fillId="0" borderId="4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3" xfId="0" applyFont="1" applyBorder="1"/>
    <xf numFmtId="0" fontId="0" fillId="0" borderId="17" xfId="0" applyFont="1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0" xfId="0" applyFont="1" applyBorder="1" applyAlignment="1">
      <alignment horizontal="center"/>
    </xf>
    <xf numFmtId="0" fontId="0" fillId="0" borderId="11" xfId="0" applyFont="1" applyBorder="1"/>
    <xf numFmtId="0" fontId="0" fillId="0" borderId="12" xfId="0" applyFont="1" applyBorder="1"/>
    <xf numFmtId="0" fontId="0" fillId="0" borderId="9" xfId="0" applyFont="1" applyFill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5" borderId="18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0" fillId="5" borderId="23" xfId="0" applyFont="1" applyFill="1" applyBorder="1" applyAlignment="1">
      <alignment horizontal="center"/>
    </xf>
    <xf numFmtId="0" fontId="15" fillId="0" borderId="13" xfId="0" applyFont="1" applyBorder="1"/>
    <xf numFmtId="0" fontId="0" fillId="4" borderId="18" xfId="0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17" xfId="0" applyBorder="1"/>
    <xf numFmtId="0" fontId="0" fillId="9" borderId="9" xfId="0" applyFont="1" applyFill="1" applyBorder="1" applyAlignment="1">
      <alignment horizontal="center"/>
    </xf>
    <xf numFmtId="0" fontId="0" fillId="9" borderId="14" xfId="0" applyFont="1" applyFill="1" applyBorder="1" applyAlignment="1">
      <alignment horizontal="center"/>
    </xf>
    <xf numFmtId="0" fontId="0" fillId="0" borderId="9" xfId="0" applyFont="1" applyFill="1" applyBorder="1"/>
    <xf numFmtId="0" fontId="0" fillId="10" borderId="9" xfId="0" applyFont="1" applyFill="1" applyBorder="1"/>
    <xf numFmtId="0" fontId="0" fillId="0" borderId="14" xfId="0" applyFont="1" applyFill="1" applyBorder="1"/>
    <xf numFmtId="0" fontId="0" fillId="4" borderId="1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0" borderId="27" xfId="0" applyFont="1" applyBorder="1"/>
    <xf numFmtId="0" fontId="15" fillId="0" borderId="28" xfId="0" applyFont="1" applyBorder="1"/>
    <xf numFmtId="0" fontId="15" fillId="0" borderId="27" xfId="0" applyFont="1" applyBorder="1"/>
    <xf numFmtId="176" fontId="0" fillId="0" borderId="0" xfId="0" applyNumberFormat="1"/>
    <xf numFmtId="0" fontId="0" fillId="10" borderId="0" xfId="0" applyFill="1"/>
    <xf numFmtId="0" fontId="9" fillId="0" borderId="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9" fillId="7" borderId="0" xfId="0" applyFont="1" applyFill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9" fillId="2" borderId="0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9" fillId="2" borderId="0" xfId="0" applyFont="1" applyFill="1"/>
    <xf numFmtId="176" fontId="0" fillId="0" borderId="0" xfId="0" applyNumberFormat="1" applyFill="1"/>
    <xf numFmtId="0" fontId="5" fillId="0" borderId="9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0" xfId="0" applyAlignment="1">
      <alignment horizontal="center" wrapText="1"/>
    </xf>
    <xf numFmtId="0" fontId="4" fillId="0" borderId="9" xfId="0" applyFont="1" applyBorder="1" applyAlignment="1">
      <alignment horizontal="center"/>
    </xf>
    <xf numFmtId="0" fontId="0" fillId="0" borderId="0" xfId="0" applyFont="1" applyFill="1"/>
    <xf numFmtId="0" fontId="4" fillId="0" borderId="14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2" fillId="0" borderId="0" xfId="0" applyFont="1" applyFill="1"/>
    <xf numFmtId="0" fontId="0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4" xfId="0" applyFill="1" applyBorder="1"/>
    <xf numFmtId="0" fontId="2" fillId="0" borderId="9" xfId="0" applyFont="1" applyFill="1" applyBorder="1"/>
    <xf numFmtId="0" fontId="9" fillId="0" borderId="13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9" fillId="0" borderId="13" xfId="0" quotePrefix="1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 cmpd="sng">
              <a:solidFill>
                <a:srgbClr val="5B9BD5"/>
              </a:solidFill>
              <a:round/>
            </a:ln>
            <a:effectLst/>
          </c:spPr>
          <c:marker>
            <c:symbol val="none"/>
          </c:marker>
          <c:xVal>
            <c:numRef>
              <c:f>测试!$Q$31:$Q$49</c:f>
              <c:numCache>
                <c:formatCode>General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测试!$P$31:$P$53</c:f>
              <c:numCache>
                <c:formatCode>General</c:formatCode>
                <c:ptCount val="23"/>
                <c:pt idx="0">
                  <c:v>-979.97601500000007</c:v>
                </c:pt>
                <c:pt idx="1">
                  <c:v>-979.97601500000007</c:v>
                </c:pt>
                <c:pt idx="2">
                  <c:v>-979.97601500000007</c:v>
                </c:pt>
                <c:pt idx="4">
                  <c:v>-981.41225499999996</c:v>
                </c:pt>
                <c:pt idx="5">
                  <c:v>-981.41225499999996</c:v>
                </c:pt>
                <c:pt idx="6">
                  <c:v>-981.41225499999996</c:v>
                </c:pt>
                <c:pt idx="8">
                  <c:v>-982.18279399999994</c:v>
                </c:pt>
                <c:pt idx="9">
                  <c:v>-982.18279399999994</c:v>
                </c:pt>
                <c:pt idx="10">
                  <c:v>-982.18279399999994</c:v>
                </c:pt>
                <c:pt idx="12">
                  <c:v>-981.68710899999996</c:v>
                </c:pt>
                <c:pt idx="13">
                  <c:v>-981.68710899999996</c:v>
                </c:pt>
                <c:pt idx="14">
                  <c:v>-981.68710899999996</c:v>
                </c:pt>
                <c:pt idx="16">
                  <c:v>-984.23781299999996</c:v>
                </c:pt>
                <c:pt idx="17">
                  <c:v>-984.23781299999996</c:v>
                </c:pt>
                <c:pt idx="18">
                  <c:v>-984.23781299999996</c:v>
                </c:pt>
                <c:pt idx="20">
                  <c:v>-983.09695099999999</c:v>
                </c:pt>
                <c:pt idx="21">
                  <c:v>-983.09695099999999</c:v>
                </c:pt>
                <c:pt idx="22">
                  <c:v>-983.09695099999999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D7E-4EE8-ABB3-2EACEBA7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501040"/>
        <c:axId val="1462908272"/>
      </c:scatterChart>
      <c:valAx>
        <c:axId val="34750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2908272"/>
        <c:crosses val="autoZero"/>
        <c:crossBetween val="midCat"/>
      </c:valAx>
      <c:valAx>
        <c:axId val="1462908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47501040"/>
        <c:crosses val="autoZero"/>
        <c:crossBetween val="midCat"/>
      </c:valAx>
      <c:spPr>
        <a:noFill/>
        <a:ln cap="sq"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chart" Target="../charts/chart1.xml"/><Relationship Id="rId1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629796</xdr:colOff>
      <xdr:row>44</xdr:row>
      <xdr:rowOff>93945</xdr:rowOff>
    </xdr:from>
    <xdr:ext cx="4141715" cy="4586446"/>
    <xdr:pic>
      <xdr:nvPicPr>
        <xdr:cNvPr id="2" name="图片 1">
          <a:extLst>
            <a:ext uri="{FF2B5EF4-FFF2-40B4-BE49-F238E27FC236}">
              <a16:creationId xmlns:a16="http://schemas.microsoft.com/office/drawing/2014/main" id="{924FF9D3-A37F-4C8D-9D83-316D1AEE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60596" y="8056845"/>
          <a:ext cx="4141715" cy="4586446"/>
        </a:xfrm>
        <a:prstGeom prst="rect">
          <a:avLst/>
        </a:prstGeom>
      </xdr:spPr>
    </xdr:pic>
    <xdr:clientData/>
  </xdr:oneCellAnchor>
  <xdr:oneCellAnchor>
    <xdr:from>
      <xdr:col>7</xdr:col>
      <xdr:colOff>274255</xdr:colOff>
      <xdr:row>46</xdr:row>
      <xdr:rowOff>41834</xdr:rowOff>
    </xdr:from>
    <xdr:ext cx="4103809" cy="3171080"/>
    <xdr:pic>
      <xdr:nvPicPr>
        <xdr:cNvPr id="3" name="图片 2">
          <a:extLst>
            <a:ext uri="{FF2B5EF4-FFF2-40B4-BE49-F238E27FC236}">
              <a16:creationId xmlns:a16="http://schemas.microsoft.com/office/drawing/2014/main" id="{D9A37412-542D-4CCB-B8F1-E01B89862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4855" y="8366684"/>
          <a:ext cx="4103809" cy="3171080"/>
        </a:xfrm>
        <a:prstGeom prst="rect">
          <a:avLst/>
        </a:prstGeom>
      </xdr:spPr>
    </xdr:pic>
    <xdr:clientData/>
  </xdr:oneCellAnchor>
  <xdr:oneCellAnchor>
    <xdr:from>
      <xdr:col>13</xdr:col>
      <xdr:colOff>369795</xdr:colOff>
      <xdr:row>46</xdr:row>
      <xdr:rowOff>114918</xdr:rowOff>
    </xdr:from>
    <xdr:ext cx="7198474" cy="2838219"/>
    <xdr:pic>
      <xdr:nvPicPr>
        <xdr:cNvPr id="4" name="图片 3">
          <a:extLst>
            <a:ext uri="{FF2B5EF4-FFF2-40B4-BE49-F238E27FC236}">
              <a16:creationId xmlns:a16="http://schemas.microsoft.com/office/drawing/2014/main" id="{0463C523-1682-4906-95EB-B84EB265B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88824" y="8676212"/>
          <a:ext cx="7198474" cy="2838219"/>
        </a:xfrm>
        <a:prstGeom prst="rect">
          <a:avLst/>
        </a:prstGeom>
      </xdr:spPr>
    </xdr:pic>
    <xdr:clientData/>
  </xdr:oneCellAnchor>
  <xdr:oneCellAnchor>
    <xdr:from>
      <xdr:col>3</xdr:col>
      <xdr:colOff>31218</xdr:colOff>
      <xdr:row>79</xdr:row>
      <xdr:rowOff>39502</xdr:rowOff>
    </xdr:from>
    <xdr:ext cx="5454099" cy="309364"/>
    <xdr:pic>
      <xdr:nvPicPr>
        <xdr:cNvPr id="5" name="图片 4">
          <a:extLst>
            <a:ext uri="{FF2B5EF4-FFF2-40B4-BE49-F238E27FC236}">
              <a16:creationId xmlns:a16="http://schemas.microsoft.com/office/drawing/2014/main" id="{844F9DE1-5D9F-43F1-9C8A-6A68CAD1E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8618" y="14336527"/>
          <a:ext cx="5454099" cy="309364"/>
        </a:xfrm>
        <a:prstGeom prst="rect">
          <a:avLst/>
        </a:prstGeom>
      </xdr:spPr>
    </xdr:pic>
    <xdr:clientData/>
  </xdr:oneCellAnchor>
  <xdr:oneCellAnchor>
    <xdr:from>
      <xdr:col>3</xdr:col>
      <xdr:colOff>24847</xdr:colOff>
      <xdr:row>74</xdr:row>
      <xdr:rowOff>17024</xdr:rowOff>
    </xdr:from>
    <xdr:ext cx="5443903" cy="353902"/>
    <xdr:pic>
      <xdr:nvPicPr>
        <xdr:cNvPr id="6" name="图片 5">
          <a:extLst>
            <a:ext uri="{FF2B5EF4-FFF2-40B4-BE49-F238E27FC236}">
              <a16:creationId xmlns:a16="http://schemas.microsoft.com/office/drawing/2014/main" id="{9D739B3D-AD43-4D89-9300-6F1DEB59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2247" y="13409174"/>
          <a:ext cx="5443903" cy="353902"/>
        </a:xfrm>
        <a:prstGeom prst="rect">
          <a:avLst/>
        </a:prstGeom>
      </xdr:spPr>
    </xdr:pic>
    <xdr:clientData/>
  </xdr:oneCellAnchor>
  <xdr:oneCellAnchor>
    <xdr:from>
      <xdr:col>3</xdr:col>
      <xdr:colOff>16565</xdr:colOff>
      <xdr:row>78</xdr:row>
      <xdr:rowOff>2993</xdr:rowOff>
    </xdr:from>
    <xdr:ext cx="5478661" cy="386169"/>
    <xdr:pic>
      <xdr:nvPicPr>
        <xdr:cNvPr id="7" name="图片 6">
          <a:extLst>
            <a:ext uri="{FF2B5EF4-FFF2-40B4-BE49-F238E27FC236}">
              <a16:creationId xmlns:a16="http://schemas.microsoft.com/office/drawing/2014/main" id="{09C0FFA7-2E33-4EB7-B833-058805BC4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73965" y="14119043"/>
          <a:ext cx="5478661" cy="386169"/>
        </a:xfrm>
        <a:prstGeom prst="rect">
          <a:avLst/>
        </a:prstGeom>
      </xdr:spPr>
    </xdr:pic>
    <xdr:clientData/>
  </xdr:oneCellAnchor>
  <xdr:oneCellAnchor>
    <xdr:from>
      <xdr:col>3</xdr:col>
      <xdr:colOff>21948</xdr:colOff>
      <xdr:row>65</xdr:row>
      <xdr:rowOff>551467</xdr:rowOff>
    </xdr:from>
    <xdr:ext cx="5458813" cy="380743"/>
    <xdr:pic>
      <xdr:nvPicPr>
        <xdr:cNvPr id="8" name="图片 7">
          <a:extLst>
            <a:ext uri="{FF2B5EF4-FFF2-40B4-BE49-F238E27FC236}">
              <a16:creationId xmlns:a16="http://schemas.microsoft.com/office/drawing/2014/main" id="{334A67A6-AA40-4A68-B09F-E394061B2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79348" y="11943367"/>
          <a:ext cx="5458813" cy="380743"/>
        </a:xfrm>
        <a:prstGeom prst="rect">
          <a:avLst/>
        </a:prstGeom>
      </xdr:spPr>
    </xdr:pic>
    <xdr:clientData/>
  </xdr:oneCellAnchor>
  <xdr:oneCellAnchor>
    <xdr:from>
      <xdr:col>3</xdr:col>
      <xdr:colOff>16565</xdr:colOff>
      <xdr:row>67</xdr:row>
      <xdr:rowOff>364206</xdr:rowOff>
    </xdr:from>
    <xdr:ext cx="5435621" cy="395597"/>
    <xdr:pic>
      <xdr:nvPicPr>
        <xdr:cNvPr id="9" name="图片 8">
          <a:extLst>
            <a:ext uri="{FF2B5EF4-FFF2-40B4-BE49-F238E27FC236}">
              <a16:creationId xmlns:a16="http://schemas.microsoft.com/office/drawing/2014/main" id="{7E8A60C4-837D-4523-982F-91E194528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3965" y="12308556"/>
          <a:ext cx="5435621" cy="395597"/>
        </a:xfrm>
        <a:prstGeom prst="rect">
          <a:avLst/>
        </a:prstGeom>
      </xdr:spPr>
    </xdr:pic>
    <xdr:clientData/>
  </xdr:oneCellAnchor>
  <xdr:oneCellAnchor>
    <xdr:from>
      <xdr:col>2</xdr:col>
      <xdr:colOff>687449</xdr:colOff>
      <xdr:row>66</xdr:row>
      <xdr:rowOff>370328</xdr:rowOff>
    </xdr:from>
    <xdr:ext cx="5453467" cy="367109"/>
    <xdr:pic>
      <xdr:nvPicPr>
        <xdr:cNvPr id="10" name="图片 9">
          <a:extLst>
            <a:ext uri="{FF2B5EF4-FFF2-40B4-BE49-F238E27FC236}">
              <a16:creationId xmlns:a16="http://schemas.microsoft.com/office/drawing/2014/main" id="{AEA41242-F575-4812-8DEF-8789E0175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59049" y="12124178"/>
          <a:ext cx="5453467" cy="367109"/>
        </a:xfrm>
        <a:prstGeom prst="rect">
          <a:avLst/>
        </a:prstGeom>
      </xdr:spPr>
    </xdr:pic>
    <xdr:clientData/>
  </xdr:oneCellAnchor>
  <xdr:oneCellAnchor>
    <xdr:from>
      <xdr:col>3</xdr:col>
      <xdr:colOff>16564</xdr:colOff>
      <xdr:row>70</xdr:row>
      <xdr:rowOff>14188</xdr:rowOff>
    </xdr:from>
    <xdr:ext cx="5435622" cy="369176"/>
    <xdr:pic>
      <xdr:nvPicPr>
        <xdr:cNvPr id="11" name="图片 10">
          <a:extLst>
            <a:ext uri="{FF2B5EF4-FFF2-40B4-BE49-F238E27FC236}">
              <a16:creationId xmlns:a16="http://schemas.microsoft.com/office/drawing/2014/main" id="{5F71B614-DD90-43C4-9AF1-7B29C76F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3964" y="12682438"/>
          <a:ext cx="5435622" cy="369176"/>
        </a:xfrm>
        <a:prstGeom prst="rect">
          <a:avLst/>
        </a:prstGeom>
      </xdr:spPr>
    </xdr:pic>
    <xdr:clientData/>
  </xdr:oneCellAnchor>
  <xdr:oneCellAnchor>
    <xdr:from>
      <xdr:col>3</xdr:col>
      <xdr:colOff>16564</xdr:colOff>
      <xdr:row>69</xdr:row>
      <xdr:rowOff>4391</xdr:rowOff>
    </xdr:from>
    <xdr:ext cx="5417783" cy="388902"/>
    <xdr:pic>
      <xdr:nvPicPr>
        <xdr:cNvPr id="12" name="图片 11">
          <a:extLst>
            <a:ext uri="{FF2B5EF4-FFF2-40B4-BE49-F238E27FC236}">
              <a16:creationId xmlns:a16="http://schemas.microsoft.com/office/drawing/2014/main" id="{BA307FAC-E6D3-4AB5-AB03-4CF03A1C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73964" y="12491666"/>
          <a:ext cx="5417783" cy="388902"/>
        </a:xfrm>
        <a:prstGeom prst="rect">
          <a:avLst/>
        </a:prstGeom>
      </xdr:spPr>
    </xdr:pic>
    <xdr:clientData/>
  </xdr:oneCellAnchor>
  <xdr:oneCellAnchor>
    <xdr:from>
      <xdr:col>3</xdr:col>
      <xdr:colOff>7326</xdr:colOff>
      <xdr:row>70</xdr:row>
      <xdr:rowOff>371343</xdr:rowOff>
    </xdr:from>
    <xdr:ext cx="5421924" cy="365457"/>
    <xdr:pic>
      <xdr:nvPicPr>
        <xdr:cNvPr id="13" name="图片 12">
          <a:extLst>
            <a:ext uri="{FF2B5EF4-FFF2-40B4-BE49-F238E27FC236}">
              <a16:creationId xmlns:a16="http://schemas.microsoft.com/office/drawing/2014/main" id="{C0DC1A35-3065-4E63-A03E-A0DDDE73F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64726" y="12849093"/>
          <a:ext cx="5421924" cy="365457"/>
        </a:xfrm>
        <a:prstGeom prst="rect">
          <a:avLst/>
        </a:prstGeom>
      </xdr:spPr>
    </xdr:pic>
    <xdr:clientData/>
  </xdr:oneCellAnchor>
  <xdr:oneCellAnchor>
    <xdr:from>
      <xdr:col>3</xdr:col>
      <xdr:colOff>16565</xdr:colOff>
      <xdr:row>80</xdr:row>
      <xdr:rowOff>3394</xdr:rowOff>
    </xdr:from>
    <xdr:ext cx="5427339" cy="360085"/>
    <xdr:pic>
      <xdr:nvPicPr>
        <xdr:cNvPr id="14" name="图片 13">
          <a:extLst>
            <a:ext uri="{FF2B5EF4-FFF2-40B4-BE49-F238E27FC236}">
              <a16:creationId xmlns:a16="http://schemas.microsoft.com/office/drawing/2014/main" id="{64CED753-B688-4667-A653-C0D119D92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73965" y="14481394"/>
          <a:ext cx="5427339" cy="360085"/>
        </a:xfrm>
        <a:prstGeom prst="rect">
          <a:avLst/>
        </a:prstGeom>
      </xdr:spPr>
    </xdr:pic>
    <xdr:clientData/>
  </xdr:oneCellAnchor>
  <xdr:oneCellAnchor>
    <xdr:from>
      <xdr:col>3</xdr:col>
      <xdr:colOff>16565</xdr:colOff>
      <xdr:row>76</xdr:row>
      <xdr:rowOff>376406</xdr:rowOff>
    </xdr:from>
    <xdr:ext cx="5435621" cy="386047"/>
    <xdr:pic>
      <xdr:nvPicPr>
        <xdr:cNvPr id="15" name="图片 14">
          <a:extLst>
            <a:ext uri="{FF2B5EF4-FFF2-40B4-BE49-F238E27FC236}">
              <a16:creationId xmlns:a16="http://schemas.microsoft.com/office/drawing/2014/main" id="{635EF780-06E5-48D8-B81D-FAACC9FD6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73965" y="13930481"/>
          <a:ext cx="5435621" cy="386047"/>
        </a:xfrm>
        <a:prstGeom prst="rect">
          <a:avLst/>
        </a:prstGeom>
      </xdr:spPr>
    </xdr:pic>
    <xdr:clientData/>
  </xdr:oneCellAnchor>
  <xdr:oneCellAnchor>
    <xdr:from>
      <xdr:col>3</xdr:col>
      <xdr:colOff>33131</xdr:colOff>
      <xdr:row>74</xdr:row>
      <xdr:rowOff>378281</xdr:rowOff>
    </xdr:from>
    <xdr:ext cx="5384651" cy="381524"/>
    <xdr:pic>
      <xdr:nvPicPr>
        <xdr:cNvPr id="16" name="图片 15">
          <a:extLst>
            <a:ext uri="{FF2B5EF4-FFF2-40B4-BE49-F238E27FC236}">
              <a16:creationId xmlns:a16="http://schemas.microsoft.com/office/drawing/2014/main" id="{A9D2EF97-508A-4656-BA00-2A8699C00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90531" y="13570406"/>
          <a:ext cx="5384651" cy="381524"/>
        </a:xfrm>
        <a:prstGeom prst="rect">
          <a:avLst/>
        </a:prstGeom>
      </xdr:spPr>
    </xdr:pic>
    <xdr:clientData/>
  </xdr:oneCellAnchor>
  <xdr:oneCellAnchor>
    <xdr:from>
      <xdr:col>3</xdr:col>
      <xdr:colOff>8282</xdr:colOff>
      <xdr:row>71</xdr:row>
      <xdr:rowOff>356148</xdr:rowOff>
    </xdr:from>
    <xdr:ext cx="5426064" cy="388334"/>
    <xdr:pic>
      <xdr:nvPicPr>
        <xdr:cNvPr id="17" name="图片 16">
          <a:extLst>
            <a:ext uri="{FF2B5EF4-FFF2-40B4-BE49-F238E27FC236}">
              <a16:creationId xmlns:a16="http://schemas.microsoft.com/office/drawing/2014/main" id="{7D4695D1-520F-489C-BC95-A269BF51C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65682" y="13033923"/>
          <a:ext cx="5426064" cy="388334"/>
        </a:xfrm>
        <a:prstGeom prst="rect">
          <a:avLst/>
        </a:prstGeom>
      </xdr:spPr>
    </xdr:pic>
    <xdr:clientData/>
  </xdr:oneCellAnchor>
  <xdr:oneCellAnchor>
    <xdr:from>
      <xdr:col>3</xdr:col>
      <xdr:colOff>37217</xdr:colOff>
      <xdr:row>76</xdr:row>
      <xdr:rowOff>24899</xdr:rowOff>
    </xdr:from>
    <xdr:ext cx="5362726" cy="341327"/>
    <xdr:pic>
      <xdr:nvPicPr>
        <xdr:cNvPr id="18" name="图片 17">
          <a:extLst>
            <a:ext uri="{FF2B5EF4-FFF2-40B4-BE49-F238E27FC236}">
              <a16:creationId xmlns:a16="http://schemas.microsoft.com/office/drawing/2014/main" id="{10A6851E-7DB6-4A63-89FB-4E9448B71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94617" y="13778999"/>
          <a:ext cx="5362726" cy="341327"/>
        </a:xfrm>
        <a:prstGeom prst="rect">
          <a:avLst/>
        </a:prstGeom>
      </xdr:spPr>
    </xdr:pic>
    <xdr:clientData/>
  </xdr:oneCellAnchor>
  <xdr:oneCellAnchor>
    <xdr:from>
      <xdr:col>3</xdr:col>
      <xdr:colOff>1141</xdr:colOff>
      <xdr:row>73</xdr:row>
      <xdr:rowOff>0</xdr:rowOff>
    </xdr:from>
    <xdr:ext cx="5450090" cy="380999"/>
    <xdr:pic>
      <xdr:nvPicPr>
        <xdr:cNvPr id="19" name="图片 18">
          <a:extLst>
            <a:ext uri="{FF2B5EF4-FFF2-40B4-BE49-F238E27FC236}">
              <a16:creationId xmlns:a16="http://schemas.microsoft.com/office/drawing/2014/main" id="{FEB80D5F-0FB1-475D-988D-5FDE573CD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58541" y="13211175"/>
          <a:ext cx="5450090" cy="380999"/>
        </a:xfrm>
        <a:prstGeom prst="rect">
          <a:avLst/>
        </a:prstGeom>
      </xdr:spPr>
    </xdr:pic>
    <xdr:clientData/>
  </xdr:oneCellAnchor>
  <xdr:twoCellAnchor editAs="oneCell">
    <xdr:from>
      <xdr:col>3</xdr:col>
      <xdr:colOff>47627</xdr:colOff>
      <xdr:row>65</xdr:row>
      <xdr:rowOff>43151</xdr:rowOff>
    </xdr:from>
    <xdr:to>
      <xdr:col>4</xdr:col>
      <xdr:colOff>11206</xdr:colOff>
      <xdr:row>65</xdr:row>
      <xdr:rowOff>539387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7E9DB161-01E5-48B8-8F77-0CC047AE0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98303" y="12044651"/>
          <a:ext cx="579903" cy="496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499090</xdr:colOff>
      <xdr:row>53</xdr:row>
      <xdr:rowOff>29437</xdr:rowOff>
    </xdr:from>
    <xdr:to>
      <xdr:col>6</xdr:col>
      <xdr:colOff>140804</xdr:colOff>
      <xdr:row>79</xdr:row>
      <xdr:rowOff>862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9220761-01CB-45AC-91D2-F4A8C9CB717B}"/>
            </a:ext>
          </a:extLst>
        </xdr:cNvPr>
        <xdr:cNvSpPr txBox="1"/>
      </xdr:nvSpPr>
      <xdr:spPr>
        <a:xfrm>
          <a:off x="499090" y="9943720"/>
          <a:ext cx="4147453" cy="47090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==========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吸附物种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'H2O2_111': &lt; H2O2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'H_a_111': &lt; Ha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  # H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在位置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'H_b_111': &lt; Hb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  # H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在位置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'OOH_111': &lt; OOH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'C6H12_111': &lt; C6H12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'C6H12O_111': &lt; C6H12O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'O_111': &lt; O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'OH_111': &lt; OH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'H2O_111': &lt; H2O *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# ==========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过渡态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'OOH-C6H12_111': &lt; RDS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过渡态的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'H_b-O_111': &lt; H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迁移过渡态的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总能 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&gt;,</a:t>
          </a:r>
        </a:p>
        <a:p>
          <a:endParaRPr lang="en-US" altLang="zh-CN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上述两个过渡态能量都采用反推 </a:t>
          </a:r>
          <a:r>
            <a:rPr lang="zh-CN" alt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正确</a:t>
          </a:r>
          <a:r>
            <a:rPr lang="en-US" altLang="zh-C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Ea+catmap</a:t>
          </a:r>
          <a:r>
            <a:rPr lang="zh-CN" alt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得出的初态能量 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不要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DFT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计算会导致异常</a:t>
          </a:r>
          <a:b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tiM_energies.csv</a:t>
          </a: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从这里改 不改原始数据</a:t>
          </a:r>
          <a:endParaRPr lang="en-US" altLang="zh-CN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74760</xdr:rowOff>
    </xdr:from>
    <xdr:to>
      <xdr:col>5</xdr:col>
      <xdr:colOff>2203174</xdr:colOff>
      <xdr:row>13</xdr:row>
      <xdr:rowOff>1025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B13C2B7-224C-4766-A520-BD89503A8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1412"/>
          <a:ext cx="4530587" cy="1739404"/>
        </a:xfrm>
        <a:prstGeom prst="rect">
          <a:avLst/>
        </a:prstGeom>
      </xdr:spPr>
    </xdr:pic>
    <xdr:clientData/>
  </xdr:twoCellAnchor>
  <xdr:twoCellAnchor>
    <xdr:from>
      <xdr:col>17</xdr:col>
      <xdr:colOff>600075</xdr:colOff>
      <xdr:row>29</xdr:row>
      <xdr:rowOff>57150</xdr:rowOff>
    </xdr:from>
    <xdr:to>
      <xdr:col>25</xdr:col>
      <xdr:colOff>133954</xdr:colOff>
      <xdr:row>45</xdr:row>
      <xdr:rowOff>988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CA72007-081A-4D76-83B5-0A042EACB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604630</xdr:colOff>
      <xdr:row>29</xdr:row>
      <xdr:rowOff>149087</xdr:rowOff>
    </xdr:from>
    <xdr:to>
      <xdr:col>10</xdr:col>
      <xdr:colOff>314739</xdr:colOff>
      <xdr:row>36</xdr:row>
      <xdr:rowOff>182217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63E632C-32B1-4AF3-8F28-828B47B6306F}"/>
            </a:ext>
          </a:extLst>
        </xdr:cNvPr>
        <xdr:cNvSpPr/>
      </xdr:nvSpPr>
      <xdr:spPr>
        <a:xfrm>
          <a:off x="13732565" y="5433391"/>
          <a:ext cx="6559826" cy="130865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4803914</xdr:colOff>
      <xdr:row>33</xdr:row>
      <xdr:rowOff>74542</xdr:rowOff>
    </xdr:from>
    <xdr:to>
      <xdr:col>7</xdr:col>
      <xdr:colOff>604631</xdr:colOff>
      <xdr:row>44</xdr:row>
      <xdr:rowOff>33130</xdr:rowOff>
    </xdr:to>
    <xdr:cxnSp macro="">
      <xdr:nvCxnSpPr>
        <xdr:cNvPr id="9" name="连接符: 肘形 8">
          <a:extLst>
            <a:ext uri="{FF2B5EF4-FFF2-40B4-BE49-F238E27FC236}">
              <a16:creationId xmlns:a16="http://schemas.microsoft.com/office/drawing/2014/main" id="{9DED2AFE-9A48-43CD-8505-550460816F22}"/>
            </a:ext>
          </a:extLst>
        </xdr:cNvPr>
        <xdr:cNvCxnSpPr>
          <a:stCxn id="3" idx="1"/>
        </xdr:cNvCxnSpPr>
      </xdr:nvCxnSpPr>
      <xdr:spPr>
        <a:xfrm rot="10800000" flipV="1">
          <a:off x="11786153" y="6087716"/>
          <a:ext cx="1946413" cy="1962979"/>
        </a:xfrm>
        <a:prstGeom prst="bentConnector2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844827</xdr:colOff>
      <xdr:row>31</xdr:row>
      <xdr:rowOff>157369</xdr:rowOff>
    </xdr:from>
    <xdr:to>
      <xdr:col>8</xdr:col>
      <xdr:colOff>3677479</xdr:colOff>
      <xdr:row>35</xdr:row>
      <xdr:rowOff>51287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4EC36BA8-49B4-47CA-BCD8-06784E3E555C}"/>
            </a:ext>
          </a:extLst>
        </xdr:cNvPr>
        <xdr:cNvSpPr txBox="1"/>
      </xdr:nvSpPr>
      <xdr:spPr>
        <a:xfrm>
          <a:off x="14399635" y="5835734"/>
          <a:ext cx="2832652" cy="6266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rgbClr val="C00000"/>
              </a:solidFill>
            </a:rPr>
            <a:t>问题：过渡态太低，改用</a:t>
          </a:r>
          <a:r>
            <a:rPr lang="zh-CN" altLang="en-US" sz="800" b="1">
              <a:solidFill>
                <a:srgbClr val="C00000"/>
              </a:solidFill>
            </a:rPr>
            <a:t>林栋师兄设置，</a:t>
          </a:r>
          <a:endParaRPr lang="en-US" altLang="zh-CN" sz="800" b="1">
            <a:solidFill>
              <a:srgbClr val="C00000"/>
            </a:solidFill>
          </a:endParaRPr>
        </a:p>
        <a:p>
          <a:r>
            <a:rPr lang="zh-CN" altLang="en-US" sz="1100" b="1">
              <a:solidFill>
                <a:srgbClr val="C00000"/>
              </a:solidFill>
            </a:rPr>
            <a:t>失败，结果离谱</a:t>
          </a:r>
        </a:p>
      </xdr:txBody>
    </xdr:sp>
    <xdr:clientData/>
  </xdr:twoCellAnchor>
  <xdr:twoCellAnchor>
    <xdr:from>
      <xdr:col>8</xdr:col>
      <xdr:colOff>1435377</xdr:colOff>
      <xdr:row>21</xdr:row>
      <xdr:rowOff>33545</xdr:rowOff>
    </xdr:from>
    <xdr:to>
      <xdr:col>8</xdr:col>
      <xdr:colOff>4268029</xdr:colOff>
      <xdr:row>22</xdr:row>
      <xdr:rowOff>65433</xdr:rowOff>
    </xdr:to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4BB5D84A-6705-4526-BDA6-C045ADE9157A}"/>
            </a:ext>
          </a:extLst>
        </xdr:cNvPr>
        <xdr:cNvSpPr txBox="1"/>
      </xdr:nvSpPr>
      <xdr:spPr>
        <a:xfrm>
          <a:off x="14979927" y="3834020"/>
          <a:ext cx="2832652" cy="2128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rgbClr val="C00000"/>
              </a:solidFill>
            </a:rPr>
            <a:t>问题：</a:t>
          </a:r>
          <a:r>
            <a:rPr lang="en-US" altLang="zh-CN" sz="1100" b="1">
              <a:solidFill>
                <a:srgbClr val="C00000"/>
              </a:solidFill>
            </a:rPr>
            <a:t>H2O2</a:t>
          </a:r>
          <a:r>
            <a:rPr lang="zh-CN" altLang="en-US" sz="1100" b="1">
              <a:solidFill>
                <a:srgbClr val="C00000"/>
              </a:solidFill>
            </a:rPr>
            <a:t>的分解不是在</a:t>
          </a:r>
          <a:r>
            <a:rPr lang="en-US" altLang="zh-CN" sz="1100" b="1">
              <a:solidFill>
                <a:srgbClr val="C00000"/>
              </a:solidFill>
            </a:rPr>
            <a:t>ts-1</a:t>
          </a:r>
          <a:r>
            <a:rPr lang="zh-CN" altLang="en-US" sz="1100" b="1">
              <a:solidFill>
                <a:srgbClr val="C00000"/>
              </a:solidFill>
            </a:rPr>
            <a:t>位点上发生的</a:t>
          </a:r>
        </a:p>
      </xdr:txBody>
    </xdr:sp>
    <xdr:clientData/>
  </xdr:twoCellAnchor>
  <xdr:twoCellAnchor>
    <xdr:from>
      <xdr:col>7</xdr:col>
      <xdr:colOff>454472</xdr:colOff>
      <xdr:row>19</xdr:row>
      <xdr:rowOff>123265</xdr:rowOff>
    </xdr:from>
    <xdr:to>
      <xdr:col>10</xdr:col>
      <xdr:colOff>164581</xdr:colOff>
      <xdr:row>28</xdr:row>
      <xdr:rowOff>155323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B471A6D1-703B-46BF-A93E-6D29EC350257}"/>
            </a:ext>
          </a:extLst>
        </xdr:cNvPr>
        <xdr:cNvSpPr/>
      </xdr:nvSpPr>
      <xdr:spPr>
        <a:xfrm>
          <a:off x="13296413" y="3529853"/>
          <a:ext cx="6556903" cy="164570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1006472</xdr:colOff>
      <xdr:row>43</xdr:row>
      <xdr:rowOff>133495</xdr:rowOff>
    </xdr:from>
    <xdr:to>
      <xdr:col>4</xdr:col>
      <xdr:colOff>22412</xdr:colOff>
      <xdr:row>47</xdr:row>
      <xdr:rowOff>65942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981A1A6B-DFEF-419F-A0C1-D2ADBD63BCB3}"/>
            </a:ext>
          </a:extLst>
        </xdr:cNvPr>
        <xdr:cNvSpPr/>
      </xdr:nvSpPr>
      <xdr:spPr>
        <a:xfrm>
          <a:off x="1695203" y="8009937"/>
          <a:ext cx="3859036" cy="66514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31562</xdr:colOff>
      <xdr:row>45</xdr:row>
      <xdr:rowOff>58306</xdr:rowOff>
    </xdr:from>
    <xdr:to>
      <xdr:col>6</xdr:col>
      <xdr:colOff>0</xdr:colOff>
      <xdr:row>46</xdr:row>
      <xdr:rowOff>89647</xdr:rowOff>
    </xdr:to>
    <xdr:cxnSp macro="">
      <xdr:nvCxnSpPr>
        <xdr:cNvPr id="12" name="连接符: 肘形 11">
          <a:extLst>
            <a:ext uri="{FF2B5EF4-FFF2-40B4-BE49-F238E27FC236}">
              <a16:creationId xmlns:a16="http://schemas.microsoft.com/office/drawing/2014/main" id="{A07F7B7D-6B3A-4ADA-B354-A9D780905A35}"/>
            </a:ext>
          </a:extLst>
        </xdr:cNvPr>
        <xdr:cNvCxnSpPr/>
      </xdr:nvCxnSpPr>
      <xdr:spPr>
        <a:xfrm>
          <a:off x="5544856" y="8126541"/>
          <a:ext cx="1413997" cy="210635"/>
        </a:xfrm>
        <a:prstGeom prst="bentConnector3">
          <a:avLst>
            <a:gd name="adj1" fmla="val 5000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1789036</xdr:colOff>
      <xdr:row>43</xdr:row>
      <xdr:rowOff>173840</xdr:rowOff>
    </xdr:from>
    <xdr:to>
      <xdr:col>3</xdr:col>
      <xdr:colOff>53839</xdr:colOff>
      <xdr:row>46</xdr:row>
      <xdr:rowOff>161191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377B0DE3-D1D4-43E6-AAA4-E23F3867D295}"/>
            </a:ext>
          </a:extLst>
        </xdr:cNvPr>
        <xdr:cNvSpPr txBox="1"/>
      </xdr:nvSpPr>
      <xdr:spPr>
        <a:xfrm>
          <a:off x="2477767" y="8050282"/>
          <a:ext cx="2419168" cy="5368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solidFill>
                <a:srgbClr val="C00000"/>
              </a:solidFill>
            </a:rPr>
            <a:t>问题：过渡态太低，</a:t>
          </a:r>
          <a:endParaRPr lang="en-US" altLang="zh-CN" sz="1100" b="1">
            <a:solidFill>
              <a:srgbClr val="C00000"/>
            </a:solidFill>
          </a:endParaRPr>
        </a:p>
        <a:p>
          <a:r>
            <a:rPr lang="zh-CN" altLang="en-US" sz="1100" b="1">
              <a:solidFill>
                <a:srgbClr val="C00000"/>
              </a:solidFill>
            </a:rPr>
            <a:t>方法</a:t>
          </a:r>
          <a:r>
            <a:rPr lang="en-US" altLang="zh-CN" sz="1100" b="1">
              <a:solidFill>
                <a:srgbClr val="C00000"/>
              </a:solidFill>
            </a:rPr>
            <a:t>2</a:t>
          </a:r>
          <a:r>
            <a:rPr lang="zh-CN" altLang="en-US" sz="1100" b="1">
              <a:solidFill>
                <a:srgbClr val="C00000"/>
              </a:solidFill>
            </a:rPr>
            <a:t>，更精细插点</a:t>
          </a:r>
        </a:p>
      </xdr:txBody>
    </xdr:sp>
    <xdr:clientData/>
  </xdr:twoCellAnchor>
  <xdr:twoCellAnchor editAs="oneCell">
    <xdr:from>
      <xdr:col>8</xdr:col>
      <xdr:colOff>3380014</xdr:colOff>
      <xdr:row>30</xdr:row>
      <xdr:rowOff>162817</xdr:rowOff>
    </xdr:from>
    <xdr:to>
      <xdr:col>8</xdr:col>
      <xdr:colOff>5308687</xdr:colOff>
      <xdr:row>34</xdr:row>
      <xdr:rowOff>1515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5A02132-FF77-4B11-BBDA-CF4BFC89A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27285" y="5551246"/>
          <a:ext cx="1928673" cy="554434"/>
        </a:xfrm>
        <a:prstGeom prst="rect">
          <a:avLst/>
        </a:prstGeom>
      </xdr:spPr>
    </xdr:pic>
    <xdr:clientData/>
  </xdr:twoCellAnchor>
  <xdr:twoCellAnchor>
    <xdr:from>
      <xdr:col>5</xdr:col>
      <xdr:colOff>2128630</xdr:colOff>
      <xdr:row>69</xdr:row>
      <xdr:rowOff>165653</xdr:rowOff>
    </xdr:from>
    <xdr:to>
      <xdr:col>6</xdr:col>
      <xdr:colOff>3072846</xdr:colOff>
      <xdr:row>71</xdr:row>
      <xdr:rowOff>99391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D05D37C1-440B-4ECE-8B80-F152BCF935B9}"/>
            </a:ext>
          </a:extLst>
        </xdr:cNvPr>
        <xdr:cNvSpPr txBox="1"/>
      </xdr:nvSpPr>
      <xdr:spPr>
        <a:xfrm>
          <a:off x="4456043" y="12755218"/>
          <a:ext cx="3238499" cy="298173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后续完成</a:t>
          </a:r>
          <a:r>
            <a:rPr lang="en-US" altLang="zh-CN" sz="1100"/>
            <a:t>Ti-Zr, Ti-Co, Ti-V, Ti-Mo, Ti-Nb, Ti-W, Ti-Re</a:t>
          </a:r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1738493</xdr:colOff>
      <xdr:row>29</xdr:row>
      <xdr:rowOff>161925</xdr:rowOff>
    </xdr:from>
    <xdr:to>
      <xdr:col>4</xdr:col>
      <xdr:colOff>2389781</xdr:colOff>
      <xdr:row>48</xdr:row>
      <xdr:rowOff>56492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C865868-A651-4C76-87DB-A78A9EA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0093" y="5410200"/>
          <a:ext cx="5032788" cy="33330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21</xdr:row>
      <xdr:rowOff>9525</xdr:rowOff>
    </xdr:from>
    <xdr:to>
      <xdr:col>11</xdr:col>
      <xdr:colOff>304800</xdr:colOff>
      <xdr:row>28</xdr:row>
      <xdr:rowOff>38100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E763CDF-4A72-4D1F-943D-0D4AC4575FF0}"/>
            </a:ext>
          </a:extLst>
        </xdr:cNvPr>
        <xdr:cNvSpPr txBox="1"/>
      </xdr:nvSpPr>
      <xdr:spPr>
        <a:xfrm>
          <a:off x="11887200" y="3810000"/>
          <a:ext cx="4810125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/>
            <a:t>ENCUT = 600 eV RPBE </a:t>
          </a:r>
          <a:r>
            <a:rPr lang="zh-CN" altLang="en-US"/>
            <a:t>泛函（</a:t>
          </a:r>
          <a:r>
            <a:rPr lang="en-US" altLang="zh-CN"/>
            <a:t>GGA=RP</a:t>
          </a:r>
          <a:r>
            <a:rPr lang="zh-CN" altLang="en-US"/>
            <a:t>） </a:t>
          </a:r>
          <a:r>
            <a:rPr lang="en-US" altLang="zh-CN"/>
            <a:t>DFT-D3 ISMEAR=0, SIGMA=0.2 EDIFF=1e-5 </a:t>
          </a:r>
          <a:r>
            <a:rPr lang="zh-CN" altLang="en-US"/>
            <a:t>优化力收敛：</a:t>
          </a:r>
          <a:r>
            <a:rPr lang="en-US" altLang="zh-CN" b="1">
              <a:solidFill>
                <a:srgbClr val="000000"/>
              </a:solidFill>
              <a:effectLst/>
              <a:latin typeface="ui-sans-serif"/>
            </a:rPr>
            <a:t>0.01 eV/Å</a:t>
          </a:r>
          <a:r>
            <a:rPr lang="en-US" altLang="zh-CN"/>
            <a:t> TS </a:t>
          </a:r>
          <a:r>
            <a:rPr lang="zh-CN" altLang="en-US"/>
            <a:t>力收敛：</a:t>
          </a:r>
          <a:r>
            <a:rPr lang="en-US" altLang="zh-CN" b="1">
              <a:solidFill>
                <a:srgbClr val="000000"/>
              </a:solidFill>
              <a:effectLst/>
              <a:latin typeface="ui-sans-serif"/>
            </a:rPr>
            <a:t>0.03 eV/Å</a:t>
          </a:r>
          <a:r>
            <a:rPr lang="en-US" altLang="zh-CN"/>
            <a:t> k </a:t>
          </a:r>
          <a:r>
            <a:rPr lang="zh-CN" altLang="en-US"/>
            <a:t>点 </a:t>
          </a:r>
          <a:r>
            <a:rPr lang="el-GR" altLang="zh-CN"/>
            <a:t>Γ </a:t>
          </a:r>
          <a:r>
            <a:rPr lang="zh-CN" altLang="en-US"/>
            <a:t>中心，间距～</a:t>
          </a:r>
          <a:r>
            <a:rPr lang="en-US" altLang="zh-CN"/>
            <a:t>1 Å⁻¹ </a:t>
          </a:r>
          <a:r>
            <a:rPr lang="zh-CN" altLang="en-US"/>
            <a:t>无杂化泛函，纯 </a:t>
          </a:r>
          <a:r>
            <a:rPr lang="en-US" altLang="zh-CN"/>
            <a:t>GGA-RPBE</a:t>
          </a:r>
        </a:p>
        <a:p>
          <a:r>
            <a:rPr lang="zh-CN" altLang="en-US" sz="1100"/>
            <a:t>由于活化能变化不变 还是选用原来的参数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19</xdr:row>
      <xdr:rowOff>0</xdr:rowOff>
    </xdr:from>
    <xdr:to>
      <xdr:col>15</xdr:col>
      <xdr:colOff>591720</xdr:colOff>
      <xdr:row>33</xdr:row>
      <xdr:rowOff>124436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A7A12BD-3809-4692-8C22-FD79ADAC3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1266825"/>
          <a:ext cx="4706520" cy="26580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552450</xdr:colOff>
      <xdr:row>2</xdr:row>
      <xdr:rowOff>38100</xdr:rowOff>
    </xdr:from>
    <xdr:to>
      <xdr:col>16</xdr:col>
      <xdr:colOff>442911</xdr:colOff>
      <xdr:row>16</xdr:row>
      <xdr:rowOff>143172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62029D8-CDAD-4589-8E76-67ED1DFC6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3575" y="400050"/>
          <a:ext cx="4691061" cy="263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677931</xdr:colOff>
      <xdr:row>7</xdr:row>
      <xdr:rowOff>109331</xdr:rowOff>
    </xdr:from>
    <xdr:to>
      <xdr:col>11</xdr:col>
      <xdr:colOff>273485</xdr:colOff>
      <xdr:row>22</xdr:row>
      <xdr:rowOff>34503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A107D49-4ECA-4F81-8855-FCFF9AEDF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4496" y="1202635"/>
          <a:ext cx="4705923" cy="2658433"/>
        </a:xfrm>
        <a:prstGeom prst="rect">
          <a:avLst/>
        </a:prstGeom>
      </xdr:spPr>
    </xdr:pic>
    <xdr:clientData/>
  </xdr:twoCellAnchor>
  <xdr:twoCellAnchor>
    <xdr:from>
      <xdr:col>8</xdr:col>
      <xdr:colOff>265043</xdr:colOff>
      <xdr:row>10</xdr:row>
      <xdr:rowOff>82826</xdr:rowOff>
    </xdr:from>
    <xdr:to>
      <xdr:col>14</xdr:col>
      <xdr:colOff>223630</xdr:colOff>
      <xdr:row>13</xdr:row>
      <xdr:rowOff>165652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40078E40-7187-4CA7-B879-E21ED873D975}"/>
            </a:ext>
          </a:extLst>
        </xdr:cNvPr>
        <xdr:cNvSpPr txBox="1"/>
      </xdr:nvSpPr>
      <xdr:spPr>
        <a:xfrm>
          <a:off x="7901608" y="1722783"/>
          <a:ext cx="4083326" cy="6294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第一步固定的原子不止有活性位，所以能量和其余步骤能量无法比较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153132</xdr:colOff>
      <xdr:row>10</xdr:row>
      <xdr:rowOff>98913</xdr:rowOff>
    </xdr:from>
    <xdr:to>
      <xdr:col>16</xdr:col>
      <xdr:colOff>59713</xdr:colOff>
      <xdr:row>25</xdr:row>
      <xdr:rowOff>23010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B112489-6993-424E-A6A2-9206AA803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2382" y="1908663"/>
          <a:ext cx="4707181" cy="2638722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7</xdr:row>
      <xdr:rowOff>95250</xdr:rowOff>
    </xdr:from>
    <xdr:to>
      <xdr:col>16</xdr:col>
      <xdr:colOff>663178</xdr:colOff>
      <xdr:row>11</xdr:row>
      <xdr:rowOff>57150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14E70667-CDA4-4B01-9372-CFEDDB3FC6C8}"/>
            </a:ext>
          </a:extLst>
        </xdr:cNvPr>
        <xdr:cNvSpPr txBox="1"/>
      </xdr:nvSpPr>
      <xdr:spPr>
        <a:xfrm>
          <a:off x="12849225" y="1362075"/>
          <a:ext cx="9473803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sz  CONTCAR.cif   /Doctoral_research/epoxidation_reaction_mechanism/TS_1_Files/Documents/tico/</a:t>
          </a:r>
          <a:endParaRPr lang="zh-CN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338666</xdr:colOff>
      <xdr:row>0</xdr:row>
      <xdr:rowOff>57150</xdr:rowOff>
    </xdr:from>
    <xdr:to>
      <xdr:col>19</xdr:col>
      <xdr:colOff>229127</xdr:colOff>
      <xdr:row>14</xdr:row>
      <xdr:rowOff>162222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4D9A720-C6A8-48A5-A53D-E82F2275E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6991" y="57150"/>
          <a:ext cx="4691061" cy="2638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8120-E334-4CA3-B288-C9FF00BC4F95}">
  <dimension ref="A1:DE81"/>
  <sheetViews>
    <sheetView tabSelected="1" zoomScaleNormal="100" zoomScaleSheetLayoutView="115" workbookViewId="0">
      <pane ySplit="1" topLeftCell="A2" activePane="bottomLeft" state="frozen"/>
      <selection activeCell="E1" sqref="E1"/>
      <selection pane="bottomLeft" activeCell="BV18" sqref="BV18:CA18"/>
    </sheetView>
  </sheetViews>
  <sheetFormatPr defaultRowHeight="14.25" x14ac:dyDescent="0.2"/>
  <cols>
    <col min="1" max="1" width="9" style="138"/>
    <col min="4" max="4" width="8.125" customWidth="1"/>
    <col min="8" max="8" width="9" customWidth="1"/>
    <col min="9" max="9" width="9" style="138"/>
    <col min="21" max="21" width="13.25" customWidth="1"/>
  </cols>
  <sheetData>
    <row r="1" spans="1:109" ht="26.25" thickBot="1" x14ac:dyDescent="0.4">
      <c r="A1" s="155" t="s">
        <v>264</v>
      </c>
      <c r="B1" s="156"/>
      <c r="C1" s="156"/>
      <c r="D1" s="156"/>
      <c r="E1" s="156"/>
      <c r="F1" s="157"/>
      <c r="I1" s="155" t="s">
        <v>292</v>
      </c>
      <c r="J1" s="156"/>
      <c r="K1" s="156"/>
      <c r="L1" s="156"/>
      <c r="M1" s="156"/>
      <c r="N1" s="157"/>
      <c r="Q1" s="155" t="s">
        <v>294</v>
      </c>
      <c r="R1" s="156"/>
      <c r="S1" s="156"/>
      <c r="T1" s="156"/>
      <c r="U1" s="156"/>
      <c r="V1" s="157"/>
      <c r="X1" s="155" t="s">
        <v>312</v>
      </c>
      <c r="Y1" s="156"/>
      <c r="Z1" s="156"/>
      <c r="AA1" s="156"/>
      <c r="AB1" s="156"/>
      <c r="AC1" s="157"/>
      <c r="AF1" s="155" t="s">
        <v>317</v>
      </c>
      <c r="AG1" s="156"/>
      <c r="AH1" s="156"/>
      <c r="AI1" s="156"/>
      <c r="AJ1" s="156"/>
      <c r="AK1" s="157"/>
      <c r="AM1" s="155" t="s">
        <v>324</v>
      </c>
      <c r="AN1" s="156"/>
      <c r="AO1" s="156"/>
      <c r="AP1" s="156"/>
      <c r="AQ1" s="156"/>
      <c r="AR1" s="157"/>
      <c r="AT1" s="155" t="s">
        <v>329</v>
      </c>
      <c r="AU1" s="156"/>
      <c r="AV1" s="156"/>
      <c r="AW1" s="156"/>
      <c r="AX1" s="156"/>
      <c r="AY1" s="157"/>
      <c r="BA1" s="155" t="s">
        <v>335</v>
      </c>
      <c r="BB1" s="156"/>
      <c r="BC1" s="156"/>
      <c r="BD1" s="156"/>
      <c r="BE1" s="156"/>
      <c r="BF1" s="157"/>
      <c r="BH1" s="155" t="s">
        <v>352</v>
      </c>
      <c r="BI1" s="156"/>
      <c r="BJ1" s="156"/>
      <c r="BK1" s="156"/>
      <c r="BL1" s="156"/>
      <c r="BM1" s="157"/>
      <c r="BO1" s="155" t="s">
        <v>403</v>
      </c>
      <c r="BP1" s="156"/>
      <c r="BQ1" s="156"/>
      <c r="BR1" s="156"/>
      <c r="BS1" s="156"/>
      <c r="BT1" s="157"/>
      <c r="BV1" s="155" t="s">
        <v>404</v>
      </c>
      <c r="BW1" s="156"/>
      <c r="BX1" s="156"/>
      <c r="BY1" s="156"/>
      <c r="BZ1" s="156"/>
      <c r="CA1" s="157"/>
      <c r="CC1" s="155" t="s">
        <v>405</v>
      </c>
      <c r="CD1" s="156"/>
      <c r="CE1" s="156"/>
      <c r="CF1" s="156"/>
      <c r="CG1" s="156"/>
      <c r="CH1" s="156"/>
      <c r="CI1" s="157"/>
      <c r="CK1" s="155" t="s">
        <v>451</v>
      </c>
      <c r="CL1" s="156"/>
      <c r="CM1" s="156"/>
      <c r="CN1" s="156"/>
      <c r="CO1" s="156"/>
      <c r="CP1" s="157"/>
      <c r="CR1" s="152" t="s">
        <v>452</v>
      </c>
      <c r="CS1" s="153"/>
      <c r="CT1" s="153"/>
      <c r="CU1" s="153"/>
      <c r="CV1" s="153"/>
      <c r="CW1" s="154"/>
      <c r="CY1" s="155" t="s">
        <v>453</v>
      </c>
      <c r="CZ1" s="156"/>
      <c r="DA1" s="156"/>
      <c r="DB1" s="156"/>
      <c r="DC1" s="156"/>
      <c r="DD1" s="157"/>
    </row>
    <row r="2" spans="1:109" x14ac:dyDescent="0.2">
      <c r="A2" s="148" t="s">
        <v>284</v>
      </c>
      <c r="B2" s="149"/>
      <c r="C2" s="149"/>
      <c r="D2" s="149"/>
      <c r="E2" s="149"/>
      <c r="F2" s="150"/>
      <c r="I2" s="148" t="s">
        <v>284</v>
      </c>
      <c r="J2" s="149"/>
      <c r="K2" s="149"/>
      <c r="L2" s="149"/>
      <c r="M2" s="149"/>
      <c r="N2" s="150"/>
      <c r="Q2" s="148" t="s">
        <v>492</v>
      </c>
      <c r="R2" s="149"/>
      <c r="S2" s="149"/>
      <c r="T2" s="149"/>
      <c r="U2" s="149"/>
      <c r="V2" s="150"/>
      <c r="X2" s="148" t="s">
        <v>284</v>
      </c>
      <c r="Y2" s="149"/>
      <c r="Z2" s="149"/>
      <c r="AA2" s="149"/>
      <c r="AB2" s="149"/>
      <c r="AC2" s="150"/>
      <c r="AF2" s="148" t="s">
        <v>284</v>
      </c>
      <c r="AG2" s="149"/>
      <c r="AH2" s="149"/>
      <c r="AI2" s="149"/>
      <c r="AJ2" s="149"/>
      <c r="AK2" s="150"/>
      <c r="AM2" s="148" t="s">
        <v>284</v>
      </c>
      <c r="AN2" s="149"/>
      <c r="AO2" s="149"/>
      <c r="AP2" s="149"/>
      <c r="AQ2" s="149"/>
      <c r="AR2" s="150"/>
      <c r="AT2" s="148" t="s">
        <v>284</v>
      </c>
      <c r="AU2" s="149"/>
      <c r="AV2" s="149"/>
      <c r="AW2" s="149"/>
      <c r="AX2" s="149"/>
      <c r="AY2" s="150"/>
      <c r="BA2" s="148" t="s">
        <v>284</v>
      </c>
      <c r="BB2" s="149"/>
      <c r="BC2" s="149"/>
      <c r="BD2" s="149"/>
      <c r="BE2" s="149"/>
      <c r="BF2" s="150"/>
      <c r="BH2" s="148" t="s">
        <v>284</v>
      </c>
      <c r="BI2" s="149"/>
      <c r="BJ2" s="149"/>
      <c r="BK2" s="149"/>
      <c r="BL2" s="149"/>
      <c r="BM2" s="150"/>
      <c r="BO2" s="148" t="s">
        <v>284</v>
      </c>
      <c r="BP2" s="149"/>
      <c r="BQ2" s="149"/>
      <c r="BR2" s="149"/>
      <c r="BS2" s="149"/>
      <c r="BT2" s="150"/>
      <c r="BV2" s="148" t="s">
        <v>284</v>
      </c>
      <c r="BW2" s="149"/>
      <c r="BX2" s="149"/>
      <c r="BY2" s="149"/>
      <c r="BZ2" s="149"/>
      <c r="CA2" s="150"/>
      <c r="CC2" s="148" t="s">
        <v>284</v>
      </c>
      <c r="CD2" s="149"/>
      <c r="CE2" s="149"/>
      <c r="CF2" s="149"/>
      <c r="CG2" s="149"/>
      <c r="CH2" s="149"/>
      <c r="CI2" s="150"/>
      <c r="CK2" s="148" t="s">
        <v>284</v>
      </c>
      <c r="CL2" s="149"/>
      <c r="CM2" s="149"/>
      <c r="CN2" s="149"/>
      <c r="CO2" s="149"/>
      <c r="CP2" s="150"/>
      <c r="CR2" s="158" t="s">
        <v>284</v>
      </c>
      <c r="CS2" s="159"/>
      <c r="CT2" s="159"/>
      <c r="CU2" s="159"/>
      <c r="CV2" s="159"/>
      <c r="CW2" s="160"/>
      <c r="CY2" s="148" t="s">
        <v>284</v>
      </c>
      <c r="CZ2" s="149"/>
      <c r="DA2" s="149"/>
      <c r="DB2" s="149"/>
      <c r="DC2" s="149"/>
      <c r="DD2" s="150"/>
    </row>
    <row r="3" spans="1:109" ht="15" x14ac:dyDescent="0.25">
      <c r="A3" s="58" t="s">
        <v>267</v>
      </c>
      <c r="B3" s="59" t="s">
        <v>259</v>
      </c>
      <c r="C3" s="59" t="s">
        <v>260</v>
      </c>
      <c r="D3" s="59" t="s">
        <v>263</v>
      </c>
      <c r="E3" s="19" t="s">
        <v>261</v>
      </c>
      <c r="F3" s="60" t="s">
        <v>262</v>
      </c>
      <c r="I3" s="21" t="s">
        <v>267</v>
      </c>
      <c r="J3" s="27" t="s">
        <v>259</v>
      </c>
      <c r="K3" s="27" t="s">
        <v>260</v>
      </c>
      <c r="L3" s="27" t="s">
        <v>263</v>
      </c>
      <c r="M3" s="28" t="s">
        <v>261</v>
      </c>
      <c r="N3" s="29" t="s">
        <v>262</v>
      </c>
      <c r="Q3" s="21" t="s">
        <v>267</v>
      </c>
      <c r="R3" s="30" t="s">
        <v>259</v>
      </c>
      <c r="S3" s="30" t="s">
        <v>260</v>
      </c>
      <c r="T3" s="30" t="s">
        <v>263</v>
      </c>
      <c r="U3" s="31" t="s">
        <v>261</v>
      </c>
      <c r="V3" s="32" t="s">
        <v>262</v>
      </c>
      <c r="X3" s="58" t="s">
        <v>267</v>
      </c>
      <c r="Y3" s="66" t="s">
        <v>259</v>
      </c>
      <c r="Z3" s="66" t="s">
        <v>260</v>
      </c>
      <c r="AA3" s="66" t="s">
        <v>263</v>
      </c>
      <c r="AB3" s="34" t="s">
        <v>261</v>
      </c>
      <c r="AC3" s="67" t="s">
        <v>262</v>
      </c>
      <c r="AF3" s="58" t="s">
        <v>267</v>
      </c>
      <c r="AG3" s="68" t="s">
        <v>259</v>
      </c>
      <c r="AH3" s="68" t="s">
        <v>260</v>
      </c>
      <c r="AI3" s="68" t="s">
        <v>263</v>
      </c>
      <c r="AJ3" s="37" t="s">
        <v>261</v>
      </c>
      <c r="AK3" s="69" t="s">
        <v>262</v>
      </c>
      <c r="AM3" s="58" t="s">
        <v>267</v>
      </c>
      <c r="AN3" s="70" t="s">
        <v>259</v>
      </c>
      <c r="AO3" s="70" t="s">
        <v>260</v>
      </c>
      <c r="AP3" s="70" t="s">
        <v>263</v>
      </c>
      <c r="AQ3" s="40" t="s">
        <v>261</v>
      </c>
      <c r="AR3" s="71" t="s">
        <v>262</v>
      </c>
      <c r="AT3" s="58" t="s">
        <v>267</v>
      </c>
      <c r="AU3" s="64" t="s">
        <v>259</v>
      </c>
      <c r="AV3" s="64" t="s">
        <v>260</v>
      </c>
      <c r="AW3" s="64" t="s">
        <v>263</v>
      </c>
      <c r="AX3" s="31" t="s">
        <v>261</v>
      </c>
      <c r="AY3" s="65" t="s">
        <v>262</v>
      </c>
      <c r="BA3" s="21" t="s">
        <v>267</v>
      </c>
      <c r="BB3" s="27" t="s">
        <v>259</v>
      </c>
      <c r="BC3" s="27" t="s">
        <v>260</v>
      </c>
      <c r="BD3" s="27" t="s">
        <v>263</v>
      </c>
      <c r="BE3" s="28" t="s">
        <v>261</v>
      </c>
      <c r="BF3" s="29" t="s">
        <v>262</v>
      </c>
      <c r="BH3" s="58" t="s">
        <v>267</v>
      </c>
      <c r="BI3" s="99" t="s">
        <v>259</v>
      </c>
      <c r="BJ3" s="99" t="s">
        <v>260</v>
      </c>
      <c r="BK3" s="99" t="s">
        <v>263</v>
      </c>
      <c r="BL3" s="42" t="s">
        <v>261</v>
      </c>
      <c r="BM3" s="100" t="s">
        <v>262</v>
      </c>
      <c r="BO3" s="58" t="s">
        <v>267</v>
      </c>
      <c r="BP3" s="64" t="s">
        <v>259</v>
      </c>
      <c r="BQ3" s="64" t="s">
        <v>260</v>
      </c>
      <c r="BR3" s="64" t="s">
        <v>263</v>
      </c>
      <c r="BS3" s="31" t="s">
        <v>261</v>
      </c>
      <c r="BT3" s="65" t="s">
        <v>262</v>
      </c>
      <c r="BV3" s="21" t="s">
        <v>267</v>
      </c>
      <c r="BW3" s="39" t="s">
        <v>259</v>
      </c>
      <c r="BX3" s="39" t="s">
        <v>260</v>
      </c>
      <c r="BY3" s="39" t="s">
        <v>263</v>
      </c>
      <c r="BZ3" s="40" t="s">
        <v>261</v>
      </c>
      <c r="CA3" s="41" t="s">
        <v>262</v>
      </c>
      <c r="CC3" s="58" t="s">
        <v>267</v>
      </c>
      <c r="CD3" s="59" t="s">
        <v>259</v>
      </c>
      <c r="CE3" s="59" t="s">
        <v>260</v>
      </c>
      <c r="CF3" s="59"/>
      <c r="CG3" s="59" t="s">
        <v>263</v>
      </c>
      <c r="CH3" s="19" t="s">
        <v>261</v>
      </c>
      <c r="CI3" s="60" t="s">
        <v>262</v>
      </c>
      <c r="CK3" s="58" t="s">
        <v>267</v>
      </c>
      <c r="CL3" s="59" t="s">
        <v>259</v>
      </c>
      <c r="CM3" s="59" t="s">
        <v>260</v>
      </c>
      <c r="CN3" s="59" t="s">
        <v>263</v>
      </c>
      <c r="CO3" s="19" t="s">
        <v>261</v>
      </c>
      <c r="CP3" s="60" t="s">
        <v>262</v>
      </c>
      <c r="CR3" s="58" t="s">
        <v>267</v>
      </c>
      <c r="CS3" s="59" t="s">
        <v>259</v>
      </c>
      <c r="CT3" s="59" t="s">
        <v>260</v>
      </c>
      <c r="CU3" s="59" t="s">
        <v>263</v>
      </c>
      <c r="CV3" s="19" t="s">
        <v>261</v>
      </c>
      <c r="CW3" s="60" t="s">
        <v>262</v>
      </c>
      <c r="CY3" s="58" t="s">
        <v>267</v>
      </c>
      <c r="CZ3" s="59" t="s">
        <v>259</v>
      </c>
      <c r="DA3" s="59" t="s">
        <v>260</v>
      </c>
      <c r="DB3" s="59" t="s">
        <v>263</v>
      </c>
      <c r="DC3" s="19" t="s">
        <v>261</v>
      </c>
      <c r="DD3" s="60" t="s">
        <v>262</v>
      </c>
    </row>
    <row r="4" spans="1:109" x14ac:dyDescent="0.2">
      <c r="A4" s="58">
        <v>1</v>
      </c>
      <c r="B4" s="47">
        <v>-870.07124199999998</v>
      </c>
      <c r="C4" s="47">
        <v>333.15</v>
      </c>
      <c r="D4" s="47" t="s">
        <v>279</v>
      </c>
      <c r="E4" s="47">
        <v>0.173983</v>
      </c>
      <c r="F4" s="61">
        <f>B4+E4</f>
        <v>-869.89725899999996</v>
      </c>
      <c r="I4" s="21">
        <v>1</v>
      </c>
      <c r="J4" s="17">
        <v>-872.09366699999998</v>
      </c>
      <c r="K4" s="17">
        <v>333.15</v>
      </c>
      <c r="L4" s="17" t="s">
        <v>344</v>
      </c>
      <c r="M4" s="17">
        <v>0.17633099999999999</v>
      </c>
      <c r="N4" s="22">
        <f>J4+M4</f>
        <v>-871.91733599999998</v>
      </c>
      <c r="Q4" s="21">
        <v>1</v>
      </c>
      <c r="R4" s="45">
        <v>-878.57421399999998</v>
      </c>
      <c r="S4" s="17">
        <v>333.15</v>
      </c>
      <c r="T4" s="17" t="s">
        <v>493</v>
      </c>
      <c r="U4" s="17">
        <v>0.13539000000000001</v>
      </c>
      <c r="V4" s="22">
        <f>R4+U4</f>
        <v>-878.43882399999995</v>
      </c>
      <c r="X4" s="58">
        <v>1</v>
      </c>
      <c r="Y4" s="47">
        <v>-873.49551299999996</v>
      </c>
      <c r="Z4" s="47">
        <v>333.15</v>
      </c>
      <c r="AA4" s="47" t="s">
        <v>473</v>
      </c>
      <c r="AB4" s="47">
        <v>0.114715</v>
      </c>
      <c r="AC4" s="61">
        <f>Y4+AB4</f>
        <v>-873.38079799999991</v>
      </c>
      <c r="AF4" s="58">
        <v>1</v>
      </c>
      <c r="AG4" s="47">
        <v>-876.10023899999999</v>
      </c>
      <c r="AH4" s="47">
        <v>333.15</v>
      </c>
      <c r="AI4" s="47" t="s">
        <v>474</v>
      </c>
      <c r="AJ4" s="47">
        <v>0.31064700000000001</v>
      </c>
      <c r="AK4" s="61">
        <f>AG4+AJ4</f>
        <v>-875.78959199999997</v>
      </c>
      <c r="AM4" s="58">
        <v>1</v>
      </c>
      <c r="AN4" s="47">
        <v>-874.054396</v>
      </c>
      <c r="AO4" s="47">
        <v>333.15</v>
      </c>
      <c r="AP4" s="47" t="s">
        <v>475</v>
      </c>
      <c r="AQ4" s="47">
        <v>0.133879</v>
      </c>
      <c r="AR4" s="61">
        <f>AN4+AQ4</f>
        <v>-873.92051700000002</v>
      </c>
      <c r="AT4" s="58">
        <v>1</v>
      </c>
      <c r="AU4" s="47">
        <v>-875.08096699999999</v>
      </c>
      <c r="AV4" s="47">
        <v>333.15</v>
      </c>
      <c r="AW4" s="47" t="s">
        <v>495</v>
      </c>
      <c r="AX4" s="47">
        <v>0.180418</v>
      </c>
      <c r="AY4" s="61">
        <f>AU4+AX4</f>
        <v>-874.90054899999996</v>
      </c>
      <c r="BA4" s="21">
        <v>1</v>
      </c>
      <c r="BB4" s="17">
        <v>-876.80766200000005</v>
      </c>
      <c r="BC4" s="17">
        <v>333.15</v>
      </c>
      <c r="BD4" s="17" t="s">
        <v>496</v>
      </c>
      <c r="BE4" s="17">
        <v>0.159331</v>
      </c>
      <c r="BF4" s="22">
        <f>BB4+BE4</f>
        <v>-876.6483310000001</v>
      </c>
      <c r="BH4" s="58">
        <v>1</v>
      </c>
      <c r="BI4" s="47">
        <v>-867.78173200000003</v>
      </c>
      <c r="BJ4" s="47">
        <v>333.15</v>
      </c>
      <c r="BK4" s="47" t="s">
        <v>481</v>
      </c>
      <c r="BL4" s="47">
        <v>0.143233</v>
      </c>
      <c r="BM4" s="61">
        <f>BI4+BL4</f>
        <v>-867.63849900000002</v>
      </c>
      <c r="BO4" s="58">
        <v>1</v>
      </c>
      <c r="BP4" s="47">
        <v>-874.10181799999998</v>
      </c>
      <c r="BQ4" s="47">
        <v>333.15</v>
      </c>
      <c r="BR4" s="47" t="s">
        <v>406</v>
      </c>
      <c r="BS4" s="47">
        <v>0.23774200000000001</v>
      </c>
      <c r="BT4" s="61">
        <f>BP4+BS4</f>
        <v>-873.86407599999995</v>
      </c>
      <c r="BV4" s="21">
        <v>1</v>
      </c>
      <c r="BW4" s="17">
        <v>-876.36240199999997</v>
      </c>
      <c r="BX4" s="17">
        <v>333.15</v>
      </c>
      <c r="BY4" s="17" t="s">
        <v>482</v>
      </c>
      <c r="BZ4" s="17">
        <v>0.122321</v>
      </c>
      <c r="CA4" s="22">
        <f>BW4+BZ4</f>
        <v>-876.24008099999992</v>
      </c>
      <c r="CC4" s="58">
        <v>1</v>
      </c>
      <c r="CD4" s="47">
        <v>-877.83179900000005</v>
      </c>
      <c r="CE4" s="47">
        <v>333.15</v>
      </c>
      <c r="CF4" s="47" t="s">
        <v>497</v>
      </c>
      <c r="CG4" s="47" t="s">
        <v>498</v>
      </c>
      <c r="CH4" s="101">
        <v>0.25726300000000002</v>
      </c>
      <c r="CI4" s="61">
        <f>CD4+CH4</f>
        <v>-877.57453600000008</v>
      </c>
      <c r="CK4" s="58">
        <v>1</v>
      </c>
      <c r="CL4" s="47">
        <v>-872.48800600000004</v>
      </c>
      <c r="CM4" s="47">
        <v>333.15</v>
      </c>
      <c r="CN4" s="47" t="s">
        <v>454</v>
      </c>
      <c r="CO4" s="47">
        <v>0.21410899999999999</v>
      </c>
      <c r="CP4" s="61">
        <f>CL4+CO4</f>
        <v>-872.27389700000003</v>
      </c>
      <c r="CR4" s="58">
        <v>1</v>
      </c>
      <c r="CS4" s="47">
        <v>-873.86190299999998</v>
      </c>
      <c r="CT4" s="47">
        <v>333.15</v>
      </c>
      <c r="CU4" s="47" t="s">
        <v>460</v>
      </c>
      <c r="CV4" s="47">
        <v>0.231262</v>
      </c>
      <c r="CW4" s="61">
        <f>CS4+CV4</f>
        <v>-873.63064099999997</v>
      </c>
      <c r="CY4" s="58">
        <v>1</v>
      </c>
      <c r="CZ4" s="47">
        <v>-863.44497000000001</v>
      </c>
      <c r="DA4" s="47">
        <v>333.15</v>
      </c>
      <c r="DB4" s="47" t="s">
        <v>466</v>
      </c>
      <c r="DC4" s="47">
        <v>0.19059000000000001</v>
      </c>
      <c r="DD4" s="61">
        <f>CZ4+DC4</f>
        <v>-863.25437999999997</v>
      </c>
    </row>
    <row r="5" spans="1:109" x14ac:dyDescent="0.2">
      <c r="A5" s="58" t="s">
        <v>270</v>
      </c>
      <c r="B5" s="47"/>
      <c r="C5" s="47">
        <v>333.15</v>
      </c>
      <c r="D5" s="47"/>
      <c r="E5" s="47"/>
      <c r="F5" s="61">
        <f>F4+F57+F58</f>
        <v>-983.05057299999987</v>
      </c>
      <c r="G5">
        <v>-983.05057299999987</v>
      </c>
      <c r="I5" s="80" t="s">
        <v>270</v>
      </c>
      <c r="J5" s="9"/>
      <c r="K5" s="17">
        <v>333.15</v>
      </c>
      <c r="L5" s="9"/>
      <c r="M5" s="9"/>
      <c r="N5" s="10">
        <f>N4+F57+F58</f>
        <v>-985.07064999999989</v>
      </c>
      <c r="Q5" s="138" t="s">
        <v>270</v>
      </c>
      <c r="S5" s="17">
        <v>333.15</v>
      </c>
      <c r="V5">
        <f>V4+F57+F58</f>
        <v>-991.59213799999986</v>
      </c>
      <c r="X5" s="58" t="s">
        <v>270</v>
      </c>
      <c r="Y5" s="47"/>
      <c r="Z5" s="47">
        <v>333.15</v>
      </c>
      <c r="AA5" s="47"/>
      <c r="AB5" s="47"/>
      <c r="AC5" s="61">
        <f>AC4+F57+F58</f>
        <v>-986.53411199999982</v>
      </c>
      <c r="AF5" s="58" t="s">
        <v>270</v>
      </c>
      <c r="AG5" s="47"/>
      <c r="AH5" s="47">
        <v>333.15</v>
      </c>
      <c r="AI5" s="47"/>
      <c r="AJ5" s="47"/>
      <c r="AK5" s="61">
        <f>AK4+F57+F58</f>
        <v>-988.94290599999988</v>
      </c>
      <c r="AM5" s="58" t="s">
        <v>270</v>
      </c>
      <c r="AN5" s="47"/>
      <c r="AO5" s="47">
        <v>333.15</v>
      </c>
      <c r="AP5" s="47"/>
      <c r="AQ5" s="47"/>
      <c r="AR5" s="61">
        <f>AR4+F57+F58</f>
        <v>-987.07383099999993</v>
      </c>
      <c r="AT5" s="58" t="s">
        <v>270</v>
      </c>
      <c r="AU5" s="47"/>
      <c r="AV5" s="47">
        <v>333.15</v>
      </c>
      <c r="AW5" s="47"/>
      <c r="AX5" s="47"/>
      <c r="AY5" s="61">
        <f>AY4+F57+F58</f>
        <v>-988.05386299999986</v>
      </c>
      <c r="BA5" s="138" t="s">
        <v>270</v>
      </c>
      <c r="BC5" s="17">
        <v>333.15</v>
      </c>
      <c r="BF5">
        <f>BF4+F58+F57</f>
        <v>-989.80164500000001</v>
      </c>
      <c r="BH5" s="58" t="s">
        <v>270</v>
      </c>
      <c r="BI5" s="47"/>
      <c r="BJ5" s="47">
        <v>333.15</v>
      </c>
      <c r="BK5" s="47"/>
      <c r="BL5" s="47"/>
      <c r="BM5" s="61">
        <f>BM4+F57+F58</f>
        <v>-980.79181299999993</v>
      </c>
      <c r="BO5" s="58" t="s">
        <v>270</v>
      </c>
      <c r="BP5" s="47"/>
      <c r="BQ5" s="47">
        <v>333.15</v>
      </c>
      <c r="BR5" s="47"/>
      <c r="BS5" s="47"/>
      <c r="BT5" s="61">
        <f>BT4+F57+F58</f>
        <v>-987.01738999999986</v>
      </c>
      <c r="BV5" s="21" t="s">
        <v>270</v>
      </c>
      <c r="BW5" s="17"/>
      <c r="BX5" s="17">
        <v>333.15</v>
      </c>
      <c r="BY5" s="17"/>
      <c r="BZ5" s="17"/>
      <c r="CA5" s="22">
        <f>CA4+F57+F58</f>
        <v>-989.39339499999983</v>
      </c>
      <c r="CC5" s="58" t="s">
        <v>270</v>
      </c>
      <c r="CD5" s="47"/>
      <c r="CE5" s="47">
        <v>333.15</v>
      </c>
      <c r="CF5" s="47"/>
      <c r="CG5" s="47"/>
      <c r="CH5" s="47"/>
      <c r="CI5" s="61">
        <f>CI4+F58+F57</f>
        <v>-990.72784999999999</v>
      </c>
      <c r="CK5" s="58" t="s">
        <v>270</v>
      </c>
      <c r="CL5" s="47"/>
      <c r="CM5" s="47">
        <v>333.15</v>
      </c>
      <c r="CN5" s="47"/>
      <c r="CO5" s="47"/>
      <c r="CP5" s="61">
        <f>CP4+F57+F58</f>
        <v>-985.42721099999994</v>
      </c>
      <c r="CR5" s="58" t="s">
        <v>270</v>
      </c>
      <c r="CS5" s="47"/>
      <c r="CT5" s="47">
        <v>333.15</v>
      </c>
      <c r="CU5" s="47"/>
      <c r="CV5" s="47"/>
      <c r="CW5" s="61">
        <f>CW4+F57+F58</f>
        <v>-986.78395499999988</v>
      </c>
      <c r="CY5" s="58" t="s">
        <v>270</v>
      </c>
      <c r="CZ5" s="47"/>
      <c r="DA5" s="47">
        <v>333.15</v>
      </c>
      <c r="DB5" s="47"/>
      <c r="DC5" s="47"/>
      <c r="DD5" s="61">
        <f>DD4+F57+F58</f>
        <v>-976.40769399999988</v>
      </c>
    </row>
    <row r="6" spans="1:109" ht="15" thickBot="1" x14ac:dyDescent="0.25">
      <c r="A6" s="148" t="s">
        <v>285</v>
      </c>
      <c r="B6" s="149"/>
      <c r="C6" s="149"/>
      <c r="D6" s="149"/>
      <c r="E6" s="149"/>
      <c r="F6" s="150"/>
      <c r="G6">
        <v>-983.26893699999994</v>
      </c>
      <c r="I6" s="166" t="s">
        <v>285</v>
      </c>
      <c r="J6" s="167"/>
      <c r="K6" s="167"/>
      <c r="L6" s="167"/>
      <c r="M6" s="167"/>
      <c r="N6" s="168"/>
      <c r="O6">
        <v>-985.07064999999989</v>
      </c>
      <c r="Q6" s="148" t="s">
        <v>285</v>
      </c>
      <c r="R6" s="149"/>
      <c r="S6" s="149"/>
      <c r="T6" s="149"/>
      <c r="U6" s="149"/>
      <c r="V6" s="150"/>
      <c r="X6" s="148" t="s">
        <v>285</v>
      </c>
      <c r="Y6" s="149"/>
      <c r="Z6" s="149"/>
      <c r="AA6" s="149"/>
      <c r="AB6" s="149"/>
      <c r="AC6" s="150"/>
      <c r="AF6" s="148" t="s">
        <v>285</v>
      </c>
      <c r="AG6" s="149"/>
      <c r="AH6" s="149"/>
      <c r="AI6" s="149"/>
      <c r="AJ6" s="149"/>
      <c r="AK6" s="150"/>
      <c r="AM6" s="148" t="s">
        <v>285</v>
      </c>
      <c r="AN6" s="149"/>
      <c r="AO6" s="149"/>
      <c r="AP6" s="149"/>
      <c r="AQ6" s="149"/>
      <c r="AR6" s="150"/>
      <c r="AT6" s="148" t="s">
        <v>285</v>
      </c>
      <c r="AU6" s="149"/>
      <c r="AV6" s="149"/>
      <c r="AW6" s="149"/>
      <c r="AX6" s="149"/>
      <c r="AY6" s="150"/>
      <c r="BA6" s="148" t="s">
        <v>285</v>
      </c>
      <c r="BB6" s="149"/>
      <c r="BC6" s="149"/>
      <c r="BD6" s="149"/>
      <c r="BE6" s="149"/>
      <c r="BF6" s="150"/>
      <c r="BH6" s="148" t="s">
        <v>285</v>
      </c>
      <c r="BI6" s="149"/>
      <c r="BJ6" s="149"/>
      <c r="BK6" s="149"/>
      <c r="BL6" s="149"/>
      <c r="BM6" s="150"/>
      <c r="BO6" s="148" t="s">
        <v>285</v>
      </c>
      <c r="BP6" s="149"/>
      <c r="BQ6" s="149"/>
      <c r="BR6" s="149"/>
      <c r="BS6" s="149"/>
      <c r="BT6" s="150"/>
      <c r="BV6" s="148" t="s">
        <v>285</v>
      </c>
      <c r="BW6" s="149"/>
      <c r="BX6" s="149"/>
      <c r="BY6" s="149"/>
      <c r="BZ6" s="149"/>
      <c r="CA6" s="150"/>
      <c r="CC6" s="148" t="s">
        <v>285</v>
      </c>
      <c r="CD6" s="149"/>
      <c r="CE6" s="149"/>
      <c r="CF6" s="149"/>
      <c r="CG6" s="149"/>
      <c r="CH6" s="149"/>
      <c r="CI6" s="150"/>
      <c r="CK6" s="148" t="s">
        <v>285</v>
      </c>
      <c r="CL6" s="149"/>
      <c r="CM6" s="149"/>
      <c r="CN6" s="149"/>
      <c r="CO6" s="149"/>
      <c r="CP6" s="150"/>
      <c r="CR6" s="148" t="s">
        <v>285</v>
      </c>
      <c r="CS6" s="149"/>
      <c r="CT6" s="149"/>
      <c r="CU6" s="149"/>
      <c r="CV6" s="149"/>
      <c r="CW6" s="150"/>
      <c r="CY6" s="148" t="s">
        <v>285</v>
      </c>
      <c r="CZ6" s="149"/>
      <c r="DA6" s="149"/>
      <c r="DB6" s="149"/>
      <c r="DC6" s="149"/>
      <c r="DD6" s="150"/>
    </row>
    <row r="7" spans="1:109" ht="15" x14ac:dyDescent="0.25">
      <c r="A7" s="58"/>
      <c r="B7" s="59" t="s">
        <v>259</v>
      </c>
      <c r="C7" s="59" t="s">
        <v>260</v>
      </c>
      <c r="D7" s="59" t="s">
        <v>263</v>
      </c>
      <c r="E7" s="19" t="s">
        <v>261</v>
      </c>
      <c r="F7" s="60" t="s">
        <v>262</v>
      </c>
      <c r="G7">
        <v>-984.51928899999996</v>
      </c>
      <c r="I7" s="86"/>
      <c r="J7" s="104" t="s">
        <v>259</v>
      </c>
      <c r="K7" s="104" t="s">
        <v>260</v>
      </c>
      <c r="L7" s="104" t="s">
        <v>263</v>
      </c>
      <c r="M7" s="105" t="s">
        <v>261</v>
      </c>
      <c r="N7" s="106" t="s">
        <v>262</v>
      </c>
      <c r="O7">
        <v>-985.29679599999997</v>
      </c>
      <c r="Q7" s="21"/>
      <c r="R7" s="30" t="s">
        <v>259</v>
      </c>
      <c r="S7" s="30" t="s">
        <v>260</v>
      </c>
      <c r="T7" s="30" t="s">
        <v>263</v>
      </c>
      <c r="U7" s="31" t="s">
        <v>261</v>
      </c>
      <c r="V7" s="32" t="s">
        <v>262</v>
      </c>
      <c r="X7" s="58"/>
      <c r="Y7" s="66" t="s">
        <v>259</v>
      </c>
      <c r="Z7" s="66" t="s">
        <v>260</v>
      </c>
      <c r="AA7" s="66" t="s">
        <v>263</v>
      </c>
      <c r="AB7" s="34" t="s">
        <v>261</v>
      </c>
      <c r="AC7" s="67" t="s">
        <v>262</v>
      </c>
      <c r="AD7">
        <v>-986.53411199999982</v>
      </c>
      <c r="AF7" s="58"/>
      <c r="AG7" s="68" t="s">
        <v>259</v>
      </c>
      <c r="AH7" s="68" t="s">
        <v>260</v>
      </c>
      <c r="AI7" s="68" t="s">
        <v>263</v>
      </c>
      <c r="AJ7" s="37" t="s">
        <v>261</v>
      </c>
      <c r="AK7" s="69" t="s">
        <v>262</v>
      </c>
      <c r="AL7">
        <v>-988.94290599999988</v>
      </c>
      <c r="AM7" s="58"/>
      <c r="AN7" s="70" t="s">
        <v>259</v>
      </c>
      <c r="AO7" s="70" t="s">
        <v>260</v>
      </c>
      <c r="AP7" s="70" t="s">
        <v>263</v>
      </c>
      <c r="AQ7" s="40" t="s">
        <v>261</v>
      </c>
      <c r="AR7" s="71" t="s">
        <v>262</v>
      </c>
      <c r="AT7" s="58"/>
      <c r="AU7" s="64" t="s">
        <v>259</v>
      </c>
      <c r="AV7" s="64" t="s">
        <v>260</v>
      </c>
      <c r="AW7" s="64" t="s">
        <v>263</v>
      </c>
      <c r="AX7" s="31" t="s">
        <v>261</v>
      </c>
      <c r="AY7" s="65" t="s">
        <v>262</v>
      </c>
      <c r="AZ7">
        <v>-988.05386299999986</v>
      </c>
      <c r="BA7" s="21"/>
      <c r="BB7" s="27" t="s">
        <v>259</v>
      </c>
      <c r="BC7" s="27" t="s">
        <v>260</v>
      </c>
      <c r="BD7" s="27" t="s">
        <v>263</v>
      </c>
      <c r="BE7" s="28" t="s">
        <v>261</v>
      </c>
      <c r="BF7" s="29" t="s">
        <v>262</v>
      </c>
      <c r="BH7" s="58"/>
      <c r="BI7" s="99" t="s">
        <v>259</v>
      </c>
      <c r="BJ7" s="99" t="s">
        <v>260</v>
      </c>
      <c r="BK7" s="99" t="s">
        <v>263</v>
      </c>
      <c r="BL7" s="42" t="s">
        <v>261</v>
      </c>
      <c r="BM7" s="100" t="s">
        <v>262</v>
      </c>
      <c r="BO7" s="58"/>
      <c r="BP7" s="64" t="s">
        <v>259</v>
      </c>
      <c r="BQ7" s="64" t="s">
        <v>260</v>
      </c>
      <c r="BR7" s="64" t="s">
        <v>263</v>
      </c>
      <c r="BS7" s="31" t="s">
        <v>261</v>
      </c>
      <c r="BT7" s="65" t="s">
        <v>262</v>
      </c>
      <c r="BV7" s="21"/>
      <c r="BW7" s="39" t="s">
        <v>259</v>
      </c>
      <c r="BX7" s="39" t="s">
        <v>260</v>
      </c>
      <c r="BY7" s="39" t="s">
        <v>263</v>
      </c>
      <c r="BZ7" s="40" t="s">
        <v>261</v>
      </c>
      <c r="CA7" s="41" t="s">
        <v>262</v>
      </c>
      <c r="CC7" s="58"/>
      <c r="CD7" s="59" t="s">
        <v>259</v>
      </c>
      <c r="CE7" s="59" t="s">
        <v>260</v>
      </c>
      <c r="CF7" s="59"/>
      <c r="CG7" s="59" t="s">
        <v>263</v>
      </c>
      <c r="CH7" s="19" t="s">
        <v>261</v>
      </c>
      <c r="CI7" s="60" t="s">
        <v>262</v>
      </c>
      <c r="CK7" s="58"/>
      <c r="CL7" s="59" t="s">
        <v>259</v>
      </c>
      <c r="CM7" s="59" t="s">
        <v>260</v>
      </c>
      <c r="CN7" s="59" t="s">
        <v>263</v>
      </c>
      <c r="CO7" s="19" t="s">
        <v>261</v>
      </c>
      <c r="CP7" s="60" t="s">
        <v>262</v>
      </c>
      <c r="CR7" s="58"/>
      <c r="CS7" s="59" t="s">
        <v>259</v>
      </c>
      <c r="CT7" s="59" t="s">
        <v>260</v>
      </c>
      <c r="CU7" s="59" t="s">
        <v>263</v>
      </c>
      <c r="CV7" s="19" t="s">
        <v>261</v>
      </c>
      <c r="CW7" s="60" t="s">
        <v>262</v>
      </c>
      <c r="CY7" s="58"/>
      <c r="CZ7" s="59" t="s">
        <v>259</v>
      </c>
      <c r="DA7" s="59" t="s">
        <v>260</v>
      </c>
      <c r="DB7" s="59" t="s">
        <v>263</v>
      </c>
      <c r="DC7" s="19" t="s">
        <v>261</v>
      </c>
      <c r="DD7" s="60" t="s">
        <v>262</v>
      </c>
    </row>
    <row r="8" spans="1:109" x14ac:dyDescent="0.2">
      <c r="A8" s="58">
        <v>2</v>
      </c>
      <c r="B8" s="47">
        <v>-889.02826900000002</v>
      </c>
      <c r="C8" s="47">
        <v>333.15</v>
      </c>
      <c r="D8" s="59" t="s">
        <v>280</v>
      </c>
      <c r="E8" s="19">
        <v>0.79055500000000001</v>
      </c>
      <c r="F8" s="60">
        <f>B8+E8</f>
        <v>-888.23771399999998</v>
      </c>
      <c r="G8">
        <v>-984.35987299999999</v>
      </c>
      <c r="I8" s="58">
        <v>2</v>
      </c>
      <c r="J8" s="47">
        <v>-891.06260499999996</v>
      </c>
      <c r="K8" s="47">
        <v>333.15</v>
      </c>
      <c r="L8" s="62" t="s">
        <v>321</v>
      </c>
      <c r="M8" s="28">
        <v>0.79703199999999996</v>
      </c>
      <c r="N8" s="63">
        <f>J8+M8</f>
        <v>-890.26557300000002</v>
      </c>
      <c r="O8">
        <v>-985.22924399999999</v>
      </c>
      <c r="Q8" s="21">
        <v>2</v>
      </c>
      <c r="R8" s="17">
        <v>-897.21297900000002</v>
      </c>
      <c r="S8" s="17">
        <v>333.15</v>
      </c>
      <c r="T8" s="35" t="s">
        <v>295</v>
      </c>
      <c r="U8" s="36">
        <v>0.792624</v>
      </c>
      <c r="V8" s="22">
        <f>R8+U8</f>
        <v>-896.42035499999997</v>
      </c>
      <c r="X8" s="58">
        <v>2</v>
      </c>
      <c r="Y8" s="47">
        <v>-891.90947900000003</v>
      </c>
      <c r="Z8" s="47">
        <v>333.15</v>
      </c>
      <c r="AA8" s="89" t="s">
        <v>480</v>
      </c>
      <c r="AB8" s="47"/>
      <c r="AC8" s="61">
        <f>Y8+AB8</f>
        <v>-891.90947900000003</v>
      </c>
      <c r="AD8">
        <v>-986.94070199999999</v>
      </c>
      <c r="AF8" s="58">
        <v>2</v>
      </c>
      <c r="AG8" s="47">
        <v>-894.78714300000001</v>
      </c>
      <c r="AH8" s="47">
        <v>333.15</v>
      </c>
      <c r="AI8" s="89" t="s">
        <v>318</v>
      </c>
      <c r="AJ8" s="36">
        <v>0.79797499999999999</v>
      </c>
      <c r="AK8" s="61">
        <f>AG8+AJ8</f>
        <v>-893.98916800000006</v>
      </c>
      <c r="AL8">
        <v>-989.02039100000002</v>
      </c>
      <c r="AM8" s="58">
        <v>2</v>
      </c>
      <c r="AN8" s="47">
        <v>-892.66987500000005</v>
      </c>
      <c r="AO8" s="47">
        <v>333.15</v>
      </c>
      <c r="AP8" s="89" t="s">
        <v>325</v>
      </c>
      <c r="AQ8" s="36">
        <v>0.75181500000000001</v>
      </c>
      <c r="AR8" s="61">
        <f>AN8+AQ8</f>
        <v>-891.91806000000008</v>
      </c>
      <c r="AT8" s="58">
        <v>2</v>
      </c>
      <c r="AU8" s="47">
        <v>-893.36601700000006</v>
      </c>
      <c r="AV8" s="47">
        <v>333.15</v>
      </c>
      <c r="AW8" s="89" t="s">
        <v>330</v>
      </c>
      <c r="AX8" s="36">
        <v>0.84713400000000005</v>
      </c>
      <c r="AY8" s="61">
        <f>AU8+AX8</f>
        <v>-892.51888300000007</v>
      </c>
      <c r="AZ8">
        <v>-987.55010600000003</v>
      </c>
      <c r="BA8" s="21">
        <v>2</v>
      </c>
      <c r="BB8" s="17">
        <v>-895.42247799999996</v>
      </c>
      <c r="BC8" s="17">
        <v>333.15</v>
      </c>
      <c r="BD8" s="35" t="s">
        <v>336</v>
      </c>
      <c r="BE8" s="36">
        <v>0.81621299999999997</v>
      </c>
      <c r="BF8" s="22">
        <f>BB8+BE8</f>
        <v>-894.60626500000001</v>
      </c>
      <c r="BH8" s="58">
        <v>2</v>
      </c>
      <c r="BI8" s="47">
        <v>-886.36429699999997</v>
      </c>
      <c r="BJ8" s="47">
        <v>333.15</v>
      </c>
      <c r="BK8" s="89" t="s">
        <v>478</v>
      </c>
      <c r="BL8" s="36">
        <v>0.81076499999999996</v>
      </c>
      <c r="BM8" s="61">
        <f>BI8+BL8</f>
        <v>-885.55353200000002</v>
      </c>
      <c r="BO8" s="58">
        <v>2</v>
      </c>
      <c r="BP8" s="47">
        <v>-893.03040099999998</v>
      </c>
      <c r="BQ8" s="47">
        <v>333.15</v>
      </c>
      <c r="BR8" s="89" t="s">
        <v>407</v>
      </c>
      <c r="BS8" s="36">
        <v>0.89833099999999999</v>
      </c>
      <c r="BT8" s="61">
        <f>BP8+BS8</f>
        <v>-892.13207</v>
      </c>
      <c r="BV8" s="21">
        <v>2</v>
      </c>
      <c r="BW8" s="17">
        <v>-894.82668699999999</v>
      </c>
      <c r="BX8" s="17">
        <v>333.15</v>
      </c>
      <c r="BY8" s="35" t="s">
        <v>413</v>
      </c>
      <c r="BZ8" s="36">
        <v>0.75466699999999998</v>
      </c>
      <c r="CA8" s="22">
        <f>BW8+BZ8</f>
        <v>-894.07201999999995</v>
      </c>
      <c r="CC8" s="58">
        <v>2</v>
      </c>
      <c r="CD8" s="47">
        <v>-896.72842300000002</v>
      </c>
      <c r="CE8" s="47">
        <v>333.15</v>
      </c>
      <c r="CF8" s="47"/>
      <c r="CG8" s="89" t="s">
        <v>760</v>
      </c>
      <c r="CH8" s="36">
        <v>0.77756400000000003</v>
      </c>
      <c r="CI8" s="61">
        <f>CD8+CH8</f>
        <v>-895.95085900000004</v>
      </c>
      <c r="CJ8">
        <v>-990.72784999999999</v>
      </c>
      <c r="CK8" s="58">
        <v>2</v>
      </c>
      <c r="CL8" s="47">
        <v>-891.20785899999998</v>
      </c>
      <c r="CM8" s="47">
        <v>333.15</v>
      </c>
      <c r="CN8" s="89" t="s">
        <v>455</v>
      </c>
      <c r="CO8" s="36">
        <v>0.85450999999999999</v>
      </c>
      <c r="CP8" s="61">
        <f>CL8+CO8</f>
        <v>-890.35334899999998</v>
      </c>
      <c r="CQ8">
        <v>-985.42721099999994</v>
      </c>
      <c r="CR8" s="58">
        <v>2</v>
      </c>
      <c r="CS8" s="47">
        <v>-892.02756199999999</v>
      </c>
      <c r="CT8" s="47">
        <v>333.15</v>
      </c>
      <c r="CU8" s="47" t="s">
        <v>462</v>
      </c>
      <c r="CV8" s="36">
        <v>0.91466499999999995</v>
      </c>
      <c r="CW8" s="61">
        <f>CS8+CV8</f>
        <v>-891.11289699999998</v>
      </c>
      <c r="CY8" s="58">
        <v>2</v>
      </c>
      <c r="CZ8" s="47">
        <v>-883.02753199999995</v>
      </c>
      <c r="DA8" s="47">
        <v>333.15</v>
      </c>
      <c r="DB8" s="89" t="s">
        <v>467</v>
      </c>
      <c r="DC8" s="36">
        <v>0.869174</v>
      </c>
      <c r="DD8" s="61">
        <f>CZ8+DC8</f>
        <v>-882.15835799999991</v>
      </c>
    </row>
    <row r="9" spans="1:109" x14ac:dyDescent="0.2">
      <c r="A9" s="58" t="s">
        <v>270</v>
      </c>
      <c r="B9" s="47"/>
      <c r="C9" s="47">
        <v>333.15</v>
      </c>
      <c r="D9" s="47"/>
      <c r="E9" s="47"/>
      <c r="F9" s="61">
        <f>F8+F58</f>
        <v>-983.26893699999994</v>
      </c>
      <c r="G9">
        <v>-986.69827199999997</v>
      </c>
      <c r="I9" s="58" t="s">
        <v>270</v>
      </c>
      <c r="J9" s="47"/>
      <c r="K9" s="47">
        <v>333.15</v>
      </c>
      <c r="L9" s="47"/>
      <c r="M9" s="47"/>
      <c r="N9" s="61">
        <f>N8+F58</f>
        <v>-985.29679599999997</v>
      </c>
      <c r="O9">
        <v>-984.89494400000001</v>
      </c>
      <c r="Q9" s="138" t="s">
        <v>270</v>
      </c>
      <c r="S9" s="17">
        <v>333.15</v>
      </c>
      <c r="T9" s="17"/>
      <c r="U9" s="17"/>
      <c r="V9" s="22">
        <f>V8+F58</f>
        <v>-991.45157799999993</v>
      </c>
      <c r="X9" s="58" t="s">
        <v>270</v>
      </c>
      <c r="Y9" s="47"/>
      <c r="Z9" s="47">
        <v>333.15</v>
      </c>
      <c r="AA9" s="47" t="s">
        <v>484</v>
      </c>
      <c r="AB9" s="47"/>
      <c r="AC9" s="61">
        <f>AC8+F58</f>
        <v>-986.94070199999999</v>
      </c>
      <c r="AD9">
        <v>-986.72668400000009</v>
      </c>
      <c r="AF9" s="58" t="s">
        <v>270</v>
      </c>
      <c r="AG9" s="47"/>
      <c r="AH9" s="47">
        <v>333.15</v>
      </c>
      <c r="AI9" s="47"/>
      <c r="AJ9" s="47"/>
      <c r="AK9" s="61">
        <f>AK8+F58</f>
        <v>-989.02039100000002</v>
      </c>
      <c r="AL9">
        <v>-991.24382099999991</v>
      </c>
      <c r="AM9" s="58" t="s">
        <v>270</v>
      </c>
      <c r="AN9" s="47"/>
      <c r="AO9" s="47">
        <v>333.15</v>
      </c>
      <c r="AP9" s="47"/>
      <c r="AQ9" s="47"/>
      <c r="AR9" s="61">
        <f>AR8+F58</f>
        <v>-986.94928300000004</v>
      </c>
      <c r="AT9" s="58" t="s">
        <v>270</v>
      </c>
      <c r="AU9" s="47"/>
      <c r="AV9" s="47">
        <v>333.15</v>
      </c>
      <c r="AW9" s="47"/>
      <c r="AX9" s="47"/>
      <c r="AY9" s="61">
        <f>AY8+F58</f>
        <v>-987.55010600000003</v>
      </c>
      <c r="AZ9">
        <v>-987.61498400000005</v>
      </c>
      <c r="BA9" s="138" t="s">
        <v>270</v>
      </c>
      <c r="BC9" s="17">
        <v>333.15</v>
      </c>
      <c r="BD9" s="17"/>
      <c r="BE9" s="17"/>
      <c r="BF9" s="22">
        <f>BF8+F58</f>
        <v>-989.63748799999996</v>
      </c>
      <c r="BH9" s="58" t="s">
        <v>270</v>
      </c>
      <c r="BI9" s="47"/>
      <c r="BJ9" s="47">
        <v>333.15</v>
      </c>
      <c r="BK9" s="47"/>
      <c r="BL9" s="47"/>
      <c r="BM9" s="61">
        <f>BM8+F58</f>
        <v>-980.58475499999997</v>
      </c>
      <c r="BO9" s="58" t="s">
        <v>270</v>
      </c>
      <c r="BP9" s="47"/>
      <c r="BQ9" s="47">
        <v>333.15</v>
      </c>
      <c r="BR9" s="47"/>
      <c r="BS9" s="47"/>
      <c r="BT9" s="61">
        <f>BT8+F58</f>
        <v>-987.16329299999995</v>
      </c>
      <c r="BU9">
        <v>-987.01738999999986</v>
      </c>
      <c r="BV9" s="21" t="s">
        <v>270</v>
      </c>
      <c r="BW9" s="17"/>
      <c r="BX9" s="17">
        <v>333.15</v>
      </c>
      <c r="BY9" s="17"/>
      <c r="BZ9" s="17"/>
      <c r="CA9" s="22">
        <f>CA8+F58</f>
        <v>-989.10324299999991</v>
      </c>
      <c r="CB9">
        <v>-989.39339499999983</v>
      </c>
      <c r="CC9" s="58" t="s">
        <v>270</v>
      </c>
      <c r="CD9" s="47"/>
      <c r="CE9" s="47">
        <v>333.15</v>
      </c>
      <c r="CF9" s="47"/>
      <c r="CG9" s="47"/>
      <c r="CH9" s="47"/>
      <c r="CI9" s="61">
        <f>CI8+F58</f>
        <v>-990.98208199999999</v>
      </c>
      <c r="CJ9">
        <v>-990.98208199999999</v>
      </c>
      <c r="CK9" s="58" t="s">
        <v>270</v>
      </c>
      <c r="CL9" s="47"/>
      <c r="CM9" s="47">
        <v>333.15</v>
      </c>
      <c r="CN9" s="47"/>
      <c r="CO9" s="47"/>
      <c r="CP9" s="61">
        <f>CP8+F58</f>
        <v>-985.38457199999993</v>
      </c>
      <c r="CQ9">
        <v>-985.38457199999993</v>
      </c>
      <c r="CR9" s="58" t="s">
        <v>270</v>
      </c>
      <c r="CS9" s="47"/>
      <c r="CT9" s="47">
        <v>333.15</v>
      </c>
      <c r="CU9" s="47"/>
      <c r="CV9" s="47"/>
      <c r="CW9" s="61">
        <f>CW8+F58</f>
        <v>-986.14411999999993</v>
      </c>
      <c r="CY9" s="58" t="s">
        <v>270</v>
      </c>
      <c r="CZ9" s="47"/>
      <c r="DA9" s="47">
        <v>333.15</v>
      </c>
      <c r="DB9" s="47"/>
      <c r="DC9" s="47"/>
      <c r="DD9" s="61">
        <f>DD8+F58</f>
        <v>-977.18958099999986</v>
      </c>
    </row>
    <row r="10" spans="1:109" x14ac:dyDescent="0.2">
      <c r="A10" s="148" t="s">
        <v>286</v>
      </c>
      <c r="B10" s="149"/>
      <c r="C10" s="149"/>
      <c r="D10" s="149"/>
      <c r="E10" s="149"/>
      <c r="F10" s="150"/>
      <c r="G10">
        <v>-986.23687599999994</v>
      </c>
      <c r="I10" s="148" t="s">
        <v>286</v>
      </c>
      <c r="J10" s="149"/>
      <c r="K10" s="149"/>
      <c r="L10" s="149"/>
      <c r="M10" s="149"/>
      <c r="N10" s="150"/>
      <c r="O10">
        <v>-987.38021100000003</v>
      </c>
      <c r="Q10" s="148" t="s">
        <v>286</v>
      </c>
      <c r="R10" s="149"/>
      <c r="S10" s="149"/>
      <c r="T10" s="149"/>
      <c r="U10" s="149"/>
      <c r="V10" s="150"/>
      <c r="X10" s="148" t="s">
        <v>286</v>
      </c>
      <c r="Y10" s="149"/>
      <c r="Z10" s="149"/>
      <c r="AA10" s="149"/>
      <c r="AB10" s="149"/>
      <c r="AC10" s="150"/>
      <c r="AD10">
        <v>-986.28183799999999</v>
      </c>
      <c r="AF10" s="148" t="s">
        <v>286</v>
      </c>
      <c r="AG10" s="149"/>
      <c r="AH10" s="149"/>
      <c r="AI10" s="149"/>
      <c r="AJ10" s="149"/>
      <c r="AK10" s="150"/>
      <c r="AL10">
        <v>-990.11587199999997</v>
      </c>
      <c r="AM10" s="148" t="s">
        <v>286</v>
      </c>
      <c r="AN10" s="149"/>
      <c r="AO10" s="149"/>
      <c r="AP10" s="149"/>
      <c r="AQ10" s="149"/>
      <c r="AR10" s="150"/>
      <c r="AT10" s="148" t="s">
        <v>286</v>
      </c>
      <c r="AU10" s="149"/>
      <c r="AV10" s="149"/>
      <c r="AW10" s="149"/>
      <c r="AX10" s="149"/>
      <c r="AY10" s="150"/>
      <c r="AZ10">
        <v>-987.45783500000005</v>
      </c>
      <c r="BA10" s="148" t="s">
        <v>286</v>
      </c>
      <c r="BB10" s="149"/>
      <c r="BC10" s="149"/>
      <c r="BD10" s="149"/>
      <c r="BE10" s="149"/>
      <c r="BF10" s="150"/>
      <c r="BH10" s="148" t="s">
        <v>286</v>
      </c>
      <c r="BI10" s="149"/>
      <c r="BJ10" s="149"/>
      <c r="BK10" s="149"/>
      <c r="BL10" s="149"/>
      <c r="BM10" s="150"/>
      <c r="BO10" s="148" t="s">
        <v>286</v>
      </c>
      <c r="BP10" s="149"/>
      <c r="BQ10" s="149"/>
      <c r="BR10" s="149"/>
      <c r="BS10" s="149"/>
      <c r="BT10" s="150"/>
      <c r="BU10">
        <v>-987.16329299999995</v>
      </c>
      <c r="BV10" s="148" t="s">
        <v>286</v>
      </c>
      <c r="BW10" s="149"/>
      <c r="BX10" s="149"/>
      <c r="BY10" s="149"/>
      <c r="BZ10" s="149"/>
      <c r="CA10" s="150"/>
      <c r="CB10">
        <v>-989.10324299999991</v>
      </c>
      <c r="CC10" s="148" t="s">
        <v>286</v>
      </c>
      <c r="CD10" s="149"/>
      <c r="CE10" s="149"/>
      <c r="CF10" s="149"/>
      <c r="CG10" s="149"/>
      <c r="CH10" s="149"/>
      <c r="CI10" s="150"/>
      <c r="CJ10">
        <v>-990.92629499999998</v>
      </c>
      <c r="CK10" s="148" t="s">
        <v>286</v>
      </c>
      <c r="CL10" s="149"/>
      <c r="CM10" s="149"/>
      <c r="CN10" s="149"/>
      <c r="CO10" s="149"/>
      <c r="CP10" s="150"/>
      <c r="CQ10">
        <v>-985.38003400000002</v>
      </c>
      <c r="CR10" s="148" t="s">
        <v>286</v>
      </c>
      <c r="CS10" s="149"/>
      <c r="CT10" s="149"/>
      <c r="CU10" s="149"/>
      <c r="CV10" s="149"/>
      <c r="CW10" s="150"/>
      <c r="CX10">
        <v>-986.78395499999988</v>
      </c>
      <c r="CY10" s="148" t="s">
        <v>286</v>
      </c>
      <c r="CZ10" s="149"/>
      <c r="DA10" s="149"/>
      <c r="DB10" s="149"/>
      <c r="DC10" s="149"/>
      <c r="DD10" s="150"/>
      <c r="DE10" s="9"/>
    </row>
    <row r="11" spans="1:109" ht="15" x14ac:dyDescent="0.25">
      <c r="A11" s="58"/>
      <c r="B11" s="59" t="s">
        <v>259</v>
      </c>
      <c r="C11" s="59" t="s">
        <v>260</v>
      </c>
      <c r="D11" s="59" t="s">
        <v>263</v>
      </c>
      <c r="E11" s="19" t="s">
        <v>261</v>
      </c>
      <c r="F11" s="60" t="s">
        <v>262</v>
      </c>
      <c r="G11">
        <v>-986.20278300000007</v>
      </c>
      <c r="I11" s="58"/>
      <c r="J11" s="62" t="s">
        <v>259</v>
      </c>
      <c r="K11" s="62" t="s">
        <v>260</v>
      </c>
      <c r="L11" s="62" t="s">
        <v>263</v>
      </c>
      <c r="M11" s="28" t="s">
        <v>261</v>
      </c>
      <c r="N11" s="63" t="s">
        <v>262</v>
      </c>
      <c r="O11">
        <v>-987.04569600000002</v>
      </c>
      <c r="Q11" s="21"/>
      <c r="R11" s="30" t="s">
        <v>259</v>
      </c>
      <c r="S11" s="30" t="s">
        <v>260</v>
      </c>
      <c r="T11" s="30" t="s">
        <v>263</v>
      </c>
      <c r="U11" s="31" t="s">
        <v>261</v>
      </c>
      <c r="V11" s="32" t="s">
        <v>262</v>
      </c>
      <c r="X11" s="58"/>
      <c r="Y11" s="66" t="s">
        <v>259</v>
      </c>
      <c r="Z11" s="66" t="s">
        <v>260</v>
      </c>
      <c r="AA11" s="66" t="s">
        <v>263</v>
      </c>
      <c r="AB11" s="34" t="s">
        <v>261</v>
      </c>
      <c r="AC11" s="67" t="s">
        <v>262</v>
      </c>
      <c r="AD11">
        <v>-988.65411600000004</v>
      </c>
      <c r="AF11" s="58"/>
      <c r="AG11" s="68" t="s">
        <v>259</v>
      </c>
      <c r="AH11" s="68" t="s">
        <v>260</v>
      </c>
      <c r="AI11" s="68" t="s">
        <v>263</v>
      </c>
      <c r="AJ11" s="37" t="s">
        <v>261</v>
      </c>
      <c r="AK11" s="69" t="s">
        <v>262</v>
      </c>
      <c r="AL11">
        <v>-991.37533900000005</v>
      </c>
      <c r="AM11" s="58"/>
      <c r="AN11" s="70" t="s">
        <v>259</v>
      </c>
      <c r="AO11" s="70" t="s">
        <v>260</v>
      </c>
      <c r="AP11" s="70" t="s">
        <v>263</v>
      </c>
      <c r="AQ11" s="40" t="s">
        <v>261</v>
      </c>
      <c r="AR11" s="71" t="s">
        <v>262</v>
      </c>
      <c r="AT11" s="58"/>
      <c r="AU11" s="64" t="s">
        <v>259</v>
      </c>
      <c r="AV11" s="64" t="s">
        <v>260</v>
      </c>
      <c r="AW11" s="64" t="s">
        <v>263</v>
      </c>
      <c r="AX11" s="31" t="s">
        <v>261</v>
      </c>
      <c r="AY11" s="65" t="s">
        <v>262</v>
      </c>
      <c r="AZ11">
        <v>-989.80257800000004</v>
      </c>
      <c r="BA11" s="21"/>
      <c r="BB11" s="27" t="s">
        <v>259</v>
      </c>
      <c r="BC11" s="27" t="s">
        <v>260</v>
      </c>
      <c r="BD11" s="27" t="s">
        <v>263</v>
      </c>
      <c r="BE11" s="28" t="s">
        <v>261</v>
      </c>
      <c r="BF11" s="29" t="s">
        <v>262</v>
      </c>
      <c r="BH11" s="58"/>
      <c r="BI11" s="99" t="s">
        <v>259</v>
      </c>
      <c r="BJ11" s="99" t="s">
        <v>260</v>
      </c>
      <c r="BK11" s="99" t="s">
        <v>263</v>
      </c>
      <c r="BL11" s="42" t="s">
        <v>261</v>
      </c>
      <c r="BM11" s="100" t="s">
        <v>262</v>
      </c>
      <c r="BO11" s="58"/>
      <c r="BP11" s="64" t="s">
        <v>259</v>
      </c>
      <c r="BQ11" s="64" t="s">
        <v>260</v>
      </c>
      <c r="BR11" s="64" t="s">
        <v>263</v>
      </c>
      <c r="BS11" s="31" t="s">
        <v>261</v>
      </c>
      <c r="BT11" s="65" t="s">
        <v>262</v>
      </c>
      <c r="BU11">
        <v>-987.15550700000006</v>
      </c>
      <c r="BV11" s="21"/>
      <c r="BW11" s="39" t="s">
        <v>259</v>
      </c>
      <c r="BX11" s="39" t="s">
        <v>260</v>
      </c>
      <c r="BY11" s="39" t="s">
        <v>263</v>
      </c>
      <c r="BZ11" s="40" t="s">
        <v>261</v>
      </c>
      <c r="CA11" s="41" t="s">
        <v>262</v>
      </c>
      <c r="CB11">
        <v>-989.00034200000005</v>
      </c>
      <c r="CC11" s="58"/>
      <c r="CD11" s="59" t="s">
        <v>259</v>
      </c>
      <c r="CE11" s="59" t="s">
        <v>260</v>
      </c>
      <c r="CF11" s="59"/>
      <c r="CG11" s="59" t="s">
        <v>263</v>
      </c>
      <c r="CH11" s="19" t="s">
        <v>261</v>
      </c>
      <c r="CI11" s="60" t="s">
        <v>262</v>
      </c>
      <c r="CJ11">
        <v>-992.10093099999995</v>
      </c>
      <c r="CK11" s="58"/>
      <c r="CL11" s="59" t="s">
        <v>259</v>
      </c>
      <c r="CM11" s="59" t="s">
        <v>260</v>
      </c>
      <c r="CN11" s="59" t="s">
        <v>263</v>
      </c>
      <c r="CO11" s="19" t="s">
        <v>261</v>
      </c>
      <c r="CP11" s="60" t="s">
        <v>262</v>
      </c>
      <c r="CQ11">
        <v>-989.27574800000002</v>
      </c>
      <c r="CR11" s="58"/>
      <c r="CS11" s="59" t="s">
        <v>259</v>
      </c>
      <c r="CT11" s="59" t="s">
        <v>260</v>
      </c>
      <c r="CU11" s="59" t="s">
        <v>263</v>
      </c>
      <c r="CV11" s="19" t="s">
        <v>261</v>
      </c>
      <c r="CW11" s="60" t="s">
        <v>262</v>
      </c>
      <c r="CX11">
        <v>-986.14411999999993</v>
      </c>
      <c r="CY11" s="58"/>
      <c r="CZ11" s="59" t="s">
        <v>259</v>
      </c>
      <c r="DA11" s="59" t="s">
        <v>260</v>
      </c>
      <c r="DB11" s="59" t="s">
        <v>263</v>
      </c>
      <c r="DC11" s="19" t="s">
        <v>261</v>
      </c>
      <c r="DD11" s="60" t="s">
        <v>262</v>
      </c>
      <c r="DE11" s="9"/>
    </row>
    <row r="12" spans="1:109" ht="15" thickBot="1" x14ac:dyDescent="0.25">
      <c r="A12" s="58">
        <v>3</v>
      </c>
      <c r="B12" s="47">
        <v>-989.49360999999999</v>
      </c>
      <c r="C12" s="47">
        <v>333.15</v>
      </c>
      <c r="D12" s="47" t="s">
        <v>299</v>
      </c>
      <c r="E12" s="47">
        <v>4.9743209999999998</v>
      </c>
      <c r="F12" s="61">
        <f>B12+E12</f>
        <v>-984.51928899999996</v>
      </c>
      <c r="I12" s="58">
        <v>3</v>
      </c>
      <c r="J12" s="47">
        <v>-990.11642600000005</v>
      </c>
      <c r="K12" s="47">
        <v>333.15</v>
      </c>
      <c r="L12" s="47" t="s">
        <v>322</v>
      </c>
      <c r="M12" s="47">
        <v>4.8871820000000001</v>
      </c>
      <c r="N12" s="61">
        <f>J12+M12</f>
        <v>-985.22924399999999</v>
      </c>
      <c r="O12">
        <v>-987.15982200000008</v>
      </c>
      <c r="Q12" s="84">
        <v>3</v>
      </c>
      <c r="R12" s="44">
        <v>-996.23690099999999</v>
      </c>
      <c r="S12" s="44">
        <v>333.15</v>
      </c>
      <c r="T12" s="44" t="s">
        <v>297</v>
      </c>
      <c r="U12" s="44">
        <v>4.8304369999999999</v>
      </c>
      <c r="V12" s="85">
        <f>R12+U12</f>
        <v>-991.40646400000003</v>
      </c>
      <c r="X12" s="58">
        <v>3</v>
      </c>
      <c r="Y12" s="47">
        <v>-991.52236100000005</v>
      </c>
      <c r="Z12" s="47">
        <v>333.15</v>
      </c>
      <c r="AA12" s="47" t="s">
        <v>313</v>
      </c>
      <c r="AB12" s="36">
        <v>4.7956770000000004</v>
      </c>
      <c r="AC12" s="61">
        <f>Y12+AB12</f>
        <v>-986.72668400000009</v>
      </c>
      <c r="AD12">
        <v>-988.21629600000006</v>
      </c>
      <c r="AF12" s="58">
        <v>3</v>
      </c>
      <c r="AG12" s="101">
        <v>-993.85987299999999</v>
      </c>
      <c r="AH12" s="101"/>
      <c r="AI12" s="101" t="s">
        <v>891</v>
      </c>
      <c r="AJ12" s="101">
        <f>9.702894/2</f>
        <v>4.8514470000000003</v>
      </c>
      <c r="AK12" s="103">
        <f>AG12+AJ12</f>
        <v>-989.00842599999999</v>
      </c>
      <c r="AL12">
        <v>-990.998198</v>
      </c>
      <c r="AM12" s="58">
        <v>3</v>
      </c>
      <c r="AN12" s="47">
        <v>-991.719381</v>
      </c>
      <c r="AO12" s="47">
        <v>333.15</v>
      </c>
      <c r="AP12" s="47" t="s">
        <v>487</v>
      </c>
      <c r="AQ12" s="47">
        <v>4.797307</v>
      </c>
      <c r="AR12" s="61">
        <f>AN12+AQ12</f>
        <v>-986.92207399999995</v>
      </c>
      <c r="AT12" s="58">
        <v>3</v>
      </c>
      <c r="AU12" s="47">
        <v>-992.44037300000002</v>
      </c>
      <c r="AV12" s="47">
        <v>333.15</v>
      </c>
      <c r="AW12" s="47" t="s">
        <v>331</v>
      </c>
      <c r="AX12" s="47">
        <v>4.8253890000000004</v>
      </c>
      <c r="AY12" s="61">
        <f>AU12+AX12</f>
        <v>-987.61498400000005</v>
      </c>
      <c r="AZ12">
        <v>-989.438984</v>
      </c>
      <c r="BA12" s="21">
        <v>3</v>
      </c>
      <c r="BB12" s="17">
        <v>-994.46338500000002</v>
      </c>
      <c r="BC12" s="17">
        <v>333.15</v>
      </c>
      <c r="BD12" t="s">
        <v>486</v>
      </c>
      <c r="BE12" s="17">
        <v>4.8481889999999996</v>
      </c>
      <c r="BF12" s="22">
        <f>BB12+BE12</f>
        <v>-989.61519599999997</v>
      </c>
      <c r="BH12" s="58">
        <v>3</v>
      </c>
      <c r="BI12" s="47">
        <v>-986.97852399999999</v>
      </c>
      <c r="BJ12" s="47">
        <v>333.15</v>
      </c>
      <c r="BK12" s="47" t="s">
        <v>437</v>
      </c>
      <c r="BL12" s="47">
        <v>4.7819380000000002</v>
      </c>
      <c r="BM12" s="61">
        <f>BI12+BL12</f>
        <v>-982.19658600000002</v>
      </c>
      <c r="BO12" s="58">
        <v>3</v>
      </c>
      <c r="BP12" s="47">
        <v>-992.09265300000004</v>
      </c>
      <c r="BQ12" s="47">
        <v>333.15</v>
      </c>
      <c r="BR12" s="47" t="s">
        <v>408</v>
      </c>
      <c r="BS12" s="47">
        <v>4.9371460000000003</v>
      </c>
      <c r="BT12" s="61">
        <f>BP12+BS12</f>
        <v>-987.15550700000006</v>
      </c>
      <c r="BU12">
        <v>-986.86088999999993</v>
      </c>
      <c r="BV12" s="21">
        <v>3</v>
      </c>
      <c r="BW12" s="17">
        <v>-993.87959599999999</v>
      </c>
      <c r="BX12" s="17">
        <v>333.15</v>
      </c>
      <c r="BY12" s="17" t="s">
        <v>414</v>
      </c>
      <c r="BZ12" s="17">
        <v>4.8792540000000004</v>
      </c>
      <c r="CA12" s="22">
        <f>BW12+BZ12</f>
        <v>-989.00034200000005</v>
      </c>
      <c r="CB12">
        <v>-989.56699299999991</v>
      </c>
      <c r="CC12" s="58">
        <v>3</v>
      </c>
      <c r="CD12" s="47">
        <v>-995.75527299999999</v>
      </c>
      <c r="CE12" s="47">
        <v>333.15</v>
      </c>
      <c r="CF12" s="47"/>
      <c r="CG12" s="47" t="s">
        <v>485</v>
      </c>
      <c r="CH12" s="47">
        <v>4.8289780000000002</v>
      </c>
      <c r="CI12" s="61">
        <f>CD12+CH12</f>
        <v>-990.92629499999998</v>
      </c>
      <c r="CJ12">
        <v>-993.37883199999999</v>
      </c>
      <c r="CK12" s="58">
        <v>3</v>
      </c>
      <c r="CL12" s="47">
        <v>-990.26527499999997</v>
      </c>
      <c r="CM12" s="47">
        <v>333.15</v>
      </c>
      <c r="CN12" s="47" t="s">
        <v>456</v>
      </c>
      <c r="CO12" s="47">
        <v>4.8852409999999997</v>
      </c>
      <c r="CP12" s="61">
        <f>CL12+CO12</f>
        <v>-985.38003400000002</v>
      </c>
      <c r="CQ12">
        <v>-987.63789299999996</v>
      </c>
      <c r="CR12" s="58">
        <v>3</v>
      </c>
      <c r="CS12" s="47">
        <v>-991.17154100000005</v>
      </c>
      <c r="CT12" s="47">
        <v>333.15</v>
      </c>
      <c r="CU12" s="89" t="s">
        <v>461</v>
      </c>
      <c r="CV12" s="47">
        <v>4.935816</v>
      </c>
      <c r="CW12" s="61">
        <f>CS12+CV12</f>
        <v>-986.235725</v>
      </c>
      <c r="CX12">
        <v>-986.235725</v>
      </c>
      <c r="CY12" s="58">
        <v>3</v>
      </c>
      <c r="CZ12" s="47">
        <v>-982.18279399999994</v>
      </c>
      <c r="DA12" s="47">
        <v>333.15</v>
      </c>
      <c r="DB12" s="47" t="s">
        <v>468</v>
      </c>
      <c r="DC12" s="47">
        <v>4.898002</v>
      </c>
      <c r="DD12" s="61">
        <f>CZ12+DC12</f>
        <v>-977.28479199999992</v>
      </c>
      <c r="DE12" s="9"/>
    </row>
    <row r="13" spans="1:109" x14ac:dyDescent="0.2">
      <c r="A13" s="58" t="s">
        <v>270</v>
      </c>
      <c r="B13" s="47"/>
      <c r="C13" s="47">
        <v>333.15</v>
      </c>
      <c r="D13" s="47"/>
      <c r="E13" s="47"/>
      <c r="F13" s="61">
        <v>-984.51928899999996</v>
      </c>
      <c r="I13" s="58" t="s">
        <v>270</v>
      </c>
      <c r="J13" s="47"/>
      <c r="K13" s="47">
        <v>333.15</v>
      </c>
      <c r="L13" s="47"/>
      <c r="M13" s="47"/>
      <c r="N13" s="61">
        <f>N12</f>
        <v>-985.22924399999999</v>
      </c>
      <c r="Q13" s="86" t="s">
        <v>270</v>
      </c>
      <c r="R13" s="87"/>
      <c r="S13" s="87">
        <v>333.15</v>
      </c>
      <c r="T13" s="87"/>
      <c r="U13" s="87"/>
      <c r="V13" s="88">
        <f>V12</f>
        <v>-991.40646400000003</v>
      </c>
      <c r="X13" s="58" t="s">
        <v>270</v>
      </c>
      <c r="Y13" s="47"/>
      <c r="Z13" s="47">
        <v>333.15</v>
      </c>
      <c r="AA13" s="47"/>
      <c r="AB13" s="47"/>
      <c r="AC13" s="61">
        <f>AC12</f>
        <v>-986.72668400000009</v>
      </c>
      <c r="AD13">
        <v>-988.62372100000005</v>
      </c>
      <c r="AF13" s="58" t="s">
        <v>270</v>
      </c>
      <c r="AG13" s="47"/>
      <c r="AH13" s="47">
        <v>333.15</v>
      </c>
      <c r="AI13" s="47"/>
      <c r="AJ13" s="47"/>
      <c r="AK13" s="61">
        <f>AK12</f>
        <v>-989.00842599999999</v>
      </c>
      <c r="AL13">
        <v>-991.18707800000016</v>
      </c>
      <c r="AM13" s="58" t="s">
        <v>270</v>
      </c>
      <c r="AN13" s="47"/>
      <c r="AO13" s="47">
        <v>333.15</v>
      </c>
      <c r="AP13" s="47"/>
      <c r="AQ13" s="47"/>
      <c r="AR13" s="61">
        <f>AR12</f>
        <v>-986.92207399999995</v>
      </c>
      <c r="AT13" s="58" t="s">
        <v>270</v>
      </c>
      <c r="AU13" s="47"/>
      <c r="AV13" s="47">
        <v>333.15</v>
      </c>
      <c r="AW13" s="47"/>
      <c r="AX13" s="47"/>
      <c r="AY13" s="61">
        <f>AY12</f>
        <v>-987.61498400000005</v>
      </c>
      <c r="AZ13">
        <v>-990.14256799999998</v>
      </c>
      <c r="BA13" s="21" t="s">
        <v>270</v>
      </c>
      <c r="BB13" s="17"/>
      <c r="BC13" s="17">
        <v>333.15</v>
      </c>
      <c r="BD13" s="17"/>
      <c r="BE13" s="17"/>
      <c r="BF13" s="22">
        <f>BF12</f>
        <v>-989.61519599999997</v>
      </c>
      <c r="BH13" s="58" t="s">
        <v>270</v>
      </c>
      <c r="BI13" s="47"/>
      <c r="BJ13" s="47">
        <v>333.15</v>
      </c>
      <c r="BK13" s="47"/>
      <c r="BL13" s="47"/>
      <c r="BM13" s="61">
        <f>BM12</f>
        <v>-982.19658600000002</v>
      </c>
      <c r="BN13" s="52"/>
      <c r="BO13" s="58" t="s">
        <v>270</v>
      </c>
      <c r="BP13" s="47"/>
      <c r="BQ13" s="47">
        <v>333.15</v>
      </c>
      <c r="BR13" s="47"/>
      <c r="BS13" s="47"/>
      <c r="BT13" s="61">
        <f>BT12</f>
        <v>-987.15550700000006</v>
      </c>
      <c r="BU13">
        <v>-989.56719599999997</v>
      </c>
      <c r="BV13" s="21" t="s">
        <v>270</v>
      </c>
      <c r="BW13" s="17"/>
      <c r="BX13" s="17">
        <v>333.15</v>
      </c>
      <c r="BY13" s="17"/>
      <c r="BZ13" s="17"/>
      <c r="CA13" s="22">
        <f>CA12</f>
        <v>-989.00034200000005</v>
      </c>
      <c r="CB13">
        <v>-991.67612600000007</v>
      </c>
      <c r="CC13" s="58" t="s">
        <v>270</v>
      </c>
      <c r="CD13" s="47"/>
      <c r="CE13" s="47">
        <v>333.15</v>
      </c>
      <c r="CF13" s="47"/>
      <c r="CG13" s="47"/>
      <c r="CH13" s="47"/>
      <c r="CI13" s="61">
        <f>CI12</f>
        <v>-990.92629499999998</v>
      </c>
      <c r="CJ13">
        <v>-993.01288599999998</v>
      </c>
      <c r="CK13" s="58" t="s">
        <v>270</v>
      </c>
      <c r="CL13" s="47"/>
      <c r="CM13" s="47">
        <v>333.15</v>
      </c>
      <c r="CN13" s="47"/>
      <c r="CO13" s="47"/>
      <c r="CP13" s="61">
        <f>CP12</f>
        <v>-985.38003400000002</v>
      </c>
      <c r="CQ13">
        <v>-987.30644199999995</v>
      </c>
      <c r="CR13" s="58" t="s">
        <v>270</v>
      </c>
      <c r="CS13" s="47"/>
      <c r="CT13" s="47">
        <v>333.15</v>
      </c>
      <c r="CU13" s="47"/>
      <c r="CV13" s="47"/>
      <c r="CW13" s="61">
        <f>CW12</f>
        <v>-986.235725</v>
      </c>
      <c r="CX13">
        <v>-986.04216200000008</v>
      </c>
      <c r="CY13" s="58" t="s">
        <v>270</v>
      </c>
      <c r="CZ13" s="47"/>
      <c r="DA13" s="47">
        <v>333.15</v>
      </c>
      <c r="DB13" s="47"/>
      <c r="DC13" s="47"/>
      <c r="DD13" s="61">
        <f>DD12</f>
        <v>-977.28479199999992</v>
      </c>
      <c r="DE13" s="9"/>
    </row>
    <row r="14" spans="1:109" x14ac:dyDescent="0.2">
      <c r="A14" s="148" t="s">
        <v>265</v>
      </c>
      <c r="B14" s="149"/>
      <c r="C14" s="149"/>
      <c r="D14" s="149"/>
      <c r="E14" s="149"/>
      <c r="F14" s="150"/>
      <c r="I14" s="148" t="s">
        <v>265</v>
      </c>
      <c r="J14" s="149"/>
      <c r="K14" s="149"/>
      <c r="L14" s="149"/>
      <c r="M14" s="149"/>
      <c r="N14" s="150"/>
      <c r="Q14" s="148" t="s">
        <v>265</v>
      </c>
      <c r="R14" s="149"/>
      <c r="S14" s="149"/>
      <c r="T14" s="149"/>
      <c r="U14" s="149"/>
      <c r="V14" s="150"/>
      <c r="X14" s="148" t="s">
        <v>265</v>
      </c>
      <c r="Y14" s="149"/>
      <c r="Z14" s="149"/>
      <c r="AA14" s="149"/>
      <c r="AB14" s="149"/>
      <c r="AC14" s="150"/>
      <c r="AF14" s="148" t="s">
        <v>265</v>
      </c>
      <c r="AG14" s="149"/>
      <c r="AH14" s="149"/>
      <c r="AI14" s="149"/>
      <c r="AJ14" s="149"/>
      <c r="AK14" s="150"/>
      <c r="AM14" s="148" t="s">
        <v>265</v>
      </c>
      <c r="AN14" s="149"/>
      <c r="AO14" s="149"/>
      <c r="AP14" s="149"/>
      <c r="AQ14" s="149"/>
      <c r="AR14" s="150"/>
      <c r="AT14" s="148" t="s">
        <v>265</v>
      </c>
      <c r="AU14" s="149"/>
      <c r="AV14" s="149"/>
      <c r="AW14" s="149"/>
      <c r="AX14" s="149"/>
      <c r="AY14" s="150"/>
      <c r="BA14" s="148" t="s">
        <v>265</v>
      </c>
      <c r="BB14" s="149"/>
      <c r="BC14" s="149"/>
      <c r="BD14" s="149"/>
      <c r="BE14" s="149"/>
      <c r="BF14" s="150"/>
      <c r="BH14" s="148" t="s">
        <v>265</v>
      </c>
      <c r="BI14" s="149"/>
      <c r="BJ14" s="149"/>
      <c r="BK14" s="149"/>
      <c r="BL14" s="149"/>
      <c r="BM14" s="150"/>
      <c r="BO14" s="148" t="s">
        <v>265</v>
      </c>
      <c r="BP14" s="149"/>
      <c r="BQ14" s="149"/>
      <c r="BR14" s="149"/>
      <c r="BS14" s="149"/>
      <c r="BT14" s="150"/>
      <c r="BU14">
        <v>-989.68989600000009</v>
      </c>
      <c r="BV14" s="148" t="s">
        <v>265</v>
      </c>
      <c r="BW14" s="149"/>
      <c r="BX14" s="149"/>
      <c r="BY14" s="149"/>
      <c r="BZ14" s="149"/>
      <c r="CA14" s="150"/>
      <c r="CB14">
        <v>-991.245994</v>
      </c>
      <c r="CC14" s="148" t="s">
        <v>265</v>
      </c>
      <c r="CD14" s="149"/>
      <c r="CE14" s="149"/>
      <c r="CF14" s="149"/>
      <c r="CG14" s="149"/>
      <c r="CH14" s="149"/>
      <c r="CI14" s="150"/>
      <c r="CJ14">
        <v>-992.94540400000005</v>
      </c>
      <c r="CK14" s="148" t="s">
        <v>265</v>
      </c>
      <c r="CL14" s="149"/>
      <c r="CM14" s="149"/>
      <c r="CN14" s="149"/>
      <c r="CO14" s="149"/>
      <c r="CP14" s="150"/>
      <c r="CQ14">
        <v>-987.51606800000002</v>
      </c>
      <c r="CR14" s="148" t="s">
        <v>265</v>
      </c>
      <c r="CS14" s="149"/>
      <c r="CT14" s="149"/>
      <c r="CU14" s="149"/>
      <c r="CV14" s="149"/>
      <c r="CW14" s="150"/>
      <c r="CX14">
        <v>-988.671425</v>
      </c>
      <c r="CY14" s="148" t="s">
        <v>265</v>
      </c>
      <c r="CZ14" s="149"/>
      <c r="DA14" s="149"/>
      <c r="DB14" s="149"/>
      <c r="DC14" s="149"/>
      <c r="DD14" s="150"/>
      <c r="DE14" s="9"/>
    </row>
    <row r="15" spans="1:109" ht="15.75" thickBot="1" x14ac:dyDescent="0.3">
      <c r="A15" s="58"/>
      <c r="B15" s="59" t="s">
        <v>259</v>
      </c>
      <c r="C15" s="59" t="s">
        <v>260</v>
      </c>
      <c r="D15" s="59" t="s">
        <v>263</v>
      </c>
      <c r="E15" s="19" t="s">
        <v>261</v>
      </c>
      <c r="F15" s="60" t="s">
        <v>262</v>
      </c>
      <c r="G15">
        <f>F17-F13</f>
        <v>0.1594159999999647</v>
      </c>
      <c r="I15" s="58"/>
      <c r="J15" s="62" t="s">
        <v>259</v>
      </c>
      <c r="K15" s="62" t="s">
        <v>260</v>
      </c>
      <c r="L15" s="62" t="s">
        <v>263</v>
      </c>
      <c r="M15" s="28" t="s">
        <v>261</v>
      </c>
      <c r="N15" s="63" t="s">
        <v>262</v>
      </c>
      <c r="O15">
        <f>N17-N13</f>
        <v>0.33429999999998472</v>
      </c>
      <c r="Q15" s="58"/>
      <c r="R15" s="64" t="s">
        <v>259</v>
      </c>
      <c r="S15" s="64" t="s">
        <v>260</v>
      </c>
      <c r="T15" s="64" t="s">
        <v>263</v>
      </c>
      <c r="U15" s="31" t="s">
        <v>261</v>
      </c>
      <c r="V15" s="65" t="s">
        <v>262</v>
      </c>
      <c r="X15" s="58"/>
      <c r="Y15" s="66" t="s">
        <v>259</v>
      </c>
      <c r="Z15" s="66" t="s">
        <v>260</v>
      </c>
      <c r="AA15" s="66" t="s">
        <v>263</v>
      </c>
      <c r="AB15" s="34" t="s">
        <v>261</v>
      </c>
      <c r="AC15" s="67" t="s">
        <v>262</v>
      </c>
      <c r="AF15" s="58"/>
      <c r="AG15" s="68" t="s">
        <v>259</v>
      </c>
      <c r="AH15" s="68" t="s">
        <v>260</v>
      </c>
      <c r="AI15" s="68" t="s">
        <v>263</v>
      </c>
      <c r="AJ15" s="37" t="s">
        <v>261</v>
      </c>
      <c r="AK15" s="69" t="s">
        <v>262</v>
      </c>
      <c r="AM15" s="58"/>
      <c r="AN15" s="70" t="s">
        <v>259</v>
      </c>
      <c r="AO15" s="70" t="s">
        <v>260</v>
      </c>
      <c r="AP15" s="70" t="s">
        <v>263</v>
      </c>
      <c r="AQ15" s="40" t="s">
        <v>261</v>
      </c>
      <c r="AR15" s="71" t="s">
        <v>262</v>
      </c>
      <c r="AT15" s="90"/>
      <c r="AU15" s="91" t="s">
        <v>259</v>
      </c>
      <c r="AV15" s="91" t="s">
        <v>260</v>
      </c>
      <c r="AW15" s="91" t="s">
        <v>263</v>
      </c>
      <c r="AX15" s="92" t="s">
        <v>261</v>
      </c>
      <c r="AY15" s="93" t="s">
        <v>262</v>
      </c>
      <c r="BA15" s="84"/>
      <c r="BB15" s="95" t="s">
        <v>259</v>
      </c>
      <c r="BC15" s="95" t="s">
        <v>260</v>
      </c>
      <c r="BD15" s="95" t="s">
        <v>263</v>
      </c>
      <c r="BE15" s="96" t="s">
        <v>261</v>
      </c>
      <c r="BF15" s="97" t="s">
        <v>262</v>
      </c>
      <c r="BH15" s="58"/>
      <c r="BI15" s="99" t="s">
        <v>259</v>
      </c>
      <c r="BJ15" s="99" t="s">
        <v>260</v>
      </c>
      <c r="BK15" s="99" t="s">
        <v>263</v>
      </c>
      <c r="BL15" s="42" t="s">
        <v>261</v>
      </c>
      <c r="BM15" s="100" t="s">
        <v>262</v>
      </c>
      <c r="BO15" s="58"/>
      <c r="BP15" s="64" t="s">
        <v>259</v>
      </c>
      <c r="BQ15" s="64" t="s">
        <v>260</v>
      </c>
      <c r="BR15" s="64" t="s">
        <v>263</v>
      </c>
      <c r="BS15" s="31" t="s">
        <v>261</v>
      </c>
      <c r="BT15" s="65" t="s">
        <v>262</v>
      </c>
      <c r="BU15">
        <v>-989.87294500000007</v>
      </c>
      <c r="BV15" s="21"/>
      <c r="BW15" s="39" t="s">
        <v>259</v>
      </c>
      <c r="BX15" s="39" t="s">
        <v>260</v>
      </c>
      <c r="BY15" s="39" t="s">
        <v>263</v>
      </c>
      <c r="BZ15" s="40" t="s">
        <v>261</v>
      </c>
      <c r="CA15" s="41" t="s">
        <v>262</v>
      </c>
      <c r="CB15">
        <v>-991.48220600000013</v>
      </c>
      <c r="CC15" s="58"/>
      <c r="CD15" s="59" t="s">
        <v>259</v>
      </c>
      <c r="CE15" s="59" t="s">
        <v>260</v>
      </c>
      <c r="CF15" s="59"/>
      <c r="CG15" s="59" t="s">
        <v>263</v>
      </c>
      <c r="CH15" s="19" t="s">
        <v>261</v>
      </c>
      <c r="CI15" s="60" t="s">
        <v>262</v>
      </c>
      <c r="CK15" s="58"/>
      <c r="CL15" s="59" t="s">
        <v>259</v>
      </c>
      <c r="CM15" s="59" t="s">
        <v>260</v>
      </c>
      <c r="CN15" s="59" t="s">
        <v>263</v>
      </c>
      <c r="CO15" s="19" t="s">
        <v>261</v>
      </c>
      <c r="CP15" s="60" t="s">
        <v>262</v>
      </c>
      <c r="CR15" s="58"/>
      <c r="CS15" s="59" t="s">
        <v>259</v>
      </c>
      <c r="CT15" s="59" t="s">
        <v>260</v>
      </c>
      <c r="CU15" s="59" t="s">
        <v>263</v>
      </c>
      <c r="CV15" s="19" t="s">
        <v>261</v>
      </c>
      <c r="CW15" s="60" t="s">
        <v>262</v>
      </c>
      <c r="CX15">
        <v>-988.17398100000003</v>
      </c>
      <c r="CY15" s="58"/>
      <c r="CZ15" s="59" t="s">
        <v>259</v>
      </c>
      <c r="DA15" s="59" t="s">
        <v>260</v>
      </c>
      <c r="DB15" s="59" t="s">
        <v>263</v>
      </c>
      <c r="DC15" s="19" t="s">
        <v>261</v>
      </c>
      <c r="DD15" s="60" t="s">
        <v>262</v>
      </c>
      <c r="DE15" s="9"/>
    </row>
    <row r="16" spans="1:109" x14ac:dyDescent="0.2">
      <c r="A16" s="58">
        <v>4</v>
      </c>
      <c r="B16" s="47">
        <v>-989.18619899999999</v>
      </c>
      <c r="C16" s="47">
        <v>333.15</v>
      </c>
      <c r="D16" s="47" t="s">
        <v>282</v>
      </c>
      <c r="E16" s="47">
        <v>4.8263259999999999</v>
      </c>
      <c r="F16" s="61">
        <f>B16+E16</f>
        <v>-984.35987299999999</v>
      </c>
      <c r="I16" s="58">
        <v>4</v>
      </c>
      <c r="J16" s="47">
        <v>-989.79030999999998</v>
      </c>
      <c r="K16" s="47">
        <v>333.15</v>
      </c>
      <c r="L16" s="47" t="s">
        <v>429</v>
      </c>
      <c r="M16" s="47">
        <v>4.8953660000000001</v>
      </c>
      <c r="N16" s="61">
        <f>J16+M16</f>
        <v>-984.89494400000001</v>
      </c>
      <c r="Q16" s="58">
        <v>4</v>
      </c>
      <c r="R16" s="47">
        <v>-996.01926000000003</v>
      </c>
      <c r="S16" s="47">
        <v>333.15</v>
      </c>
      <c r="T16" s="47" t="s">
        <v>296</v>
      </c>
      <c r="U16" s="47">
        <v>4.8446379999999998</v>
      </c>
      <c r="V16" s="61">
        <f>R16+U16</f>
        <v>-991.174622</v>
      </c>
      <c r="W16">
        <f>V16-V12</f>
        <v>0.23184200000002875</v>
      </c>
      <c r="X16" s="58">
        <v>4</v>
      </c>
      <c r="Y16" s="47">
        <v>-990.9633</v>
      </c>
      <c r="Z16" s="47">
        <v>333.15</v>
      </c>
      <c r="AA16" s="47" t="s">
        <v>281</v>
      </c>
      <c r="AB16" s="47">
        <v>4.6814619999999998</v>
      </c>
      <c r="AC16" s="61">
        <f>Y16+AB16</f>
        <v>-986.28183799999999</v>
      </c>
      <c r="AD16">
        <f>AC16-AC12</f>
        <v>0.44484600000009777</v>
      </c>
      <c r="AF16" s="144">
        <v>4</v>
      </c>
      <c r="AG16" s="101">
        <v>-994.95226000000002</v>
      </c>
      <c r="AH16" s="101">
        <v>333.15</v>
      </c>
      <c r="AI16" s="101" t="s">
        <v>319</v>
      </c>
      <c r="AJ16" s="101">
        <v>4.8363880000000004</v>
      </c>
      <c r="AK16" s="103">
        <f>AG16+AJ16</f>
        <v>-990.11587199999997</v>
      </c>
      <c r="AL16">
        <f>AK17-AK13</f>
        <v>-1.1074459999999817</v>
      </c>
      <c r="AM16" s="58">
        <v>4</v>
      </c>
      <c r="AN16" s="47">
        <v>-991.54319499999997</v>
      </c>
      <c r="AO16" s="47">
        <v>333.15</v>
      </c>
      <c r="AP16" s="47" t="s">
        <v>328</v>
      </c>
      <c r="AQ16" s="47">
        <v>4.7593050000000003</v>
      </c>
      <c r="AR16" s="61">
        <f>AN16+AQ16</f>
        <v>-986.78388999999993</v>
      </c>
      <c r="AT16" s="86">
        <v>4</v>
      </c>
      <c r="AU16" s="87">
        <v>-992.26678400000003</v>
      </c>
      <c r="AV16" s="87">
        <v>333.15</v>
      </c>
      <c r="AW16" s="87" t="s">
        <v>333</v>
      </c>
      <c r="AX16" s="87">
        <v>4.8089490000000001</v>
      </c>
      <c r="AY16" s="88">
        <f>AU16+AX16</f>
        <v>-987.45783500000005</v>
      </c>
      <c r="BA16" s="86">
        <v>4</v>
      </c>
      <c r="BB16" s="87">
        <v>-994.19263100000001</v>
      </c>
      <c r="BC16" s="87">
        <v>333.15</v>
      </c>
      <c r="BD16" s="87" t="s">
        <v>337</v>
      </c>
      <c r="BE16" s="87">
        <v>4.8548419999999997</v>
      </c>
      <c r="BF16" s="88">
        <f>BB16+BE16</f>
        <v>-989.33778900000004</v>
      </c>
      <c r="BG16">
        <f>BF16-BF12</f>
        <v>0.27740699999992557</v>
      </c>
      <c r="BH16" s="58">
        <v>4</v>
      </c>
      <c r="BI16" s="47">
        <v>-986.57934899999998</v>
      </c>
      <c r="BJ16" s="47">
        <v>333.15</v>
      </c>
      <c r="BK16" s="47" t="s">
        <v>499</v>
      </c>
      <c r="BL16" s="101">
        <v>4.9391069999999999</v>
      </c>
      <c r="BM16" s="61">
        <f>BI16+BL16</f>
        <v>-981.64024199999994</v>
      </c>
      <c r="BN16">
        <f>BM16-BM12</f>
        <v>0.556344000000081</v>
      </c>
      <c r="BO16" s="58">
        <v>4</v>
      </c>
      <c r="BP16" s="47">
        <v>-991.79000799999994</v>
      </c>
      <c r="BQ16" s="47">
        <v>333.15</v>
      </c>
      <c r="BR16" s="47" t="s">
        <v>409</v>
      </c>
      <c r="BS16" s="47">
        <v>4.9291179999999999</v>
      </c>
      <c r="BT16" s="61">
        <f>BP16+BS16</f>
        <v>-986.86088999999993</v>
      </c>
      <c r="BV16" s="21">
        <v>4</v>
      </c>
      <c r="BW16" s="17">
        <v>-994.30499899999995</v>
      </c>
      <c r="BX16" s="17">
        <v>333.15</v>
      </c>
      <c r="BY16" s="17" t="s">
        <v>415</v>
      </c>
      <c r="BZ16" s="17">
        <v>4.7380060000000004</v>
      </c>
      <c r="CA16" s="22">
        <f>BW16+BZ16</f>
        <v>-989.56699299999991</v>
      </c>
      <c r="CC16" s="58">
        <v>4</v>
      </c>
      <c r="CD16" s="47">
        <v>-996.93102199999998</v>
      </c>
      <c r="CE16" s="47">
        <v>333.15</v>
      </c>
      <c r="CF16" s="47"/>
      <c r="CG16" s="47" t="s">
        <v>426</v>
      </c>
      <c r="CH16" s="47">
        <v>4.8300910000000004</v>
      </c>
      <c r="CI16" s="61">
        <f>CD16+CH16</f>
        <v>-992.10093099999995</v>
      </c>
      <c r="CK16" s="58">
        <v>4</v>
      </c>
      <c r="CL16" s="47">
        <v>-989.93469700000003</v>
      </c>
      <c r="CM16" s="47">
        <v>333.15</v>
      </c>
      <c r="CN16" s="47" t="s">
        <v>532</v>
      </c>
      <c r="CO16" s="102">
        <v>5.0750679999999999</v>
      </c>
      <c r="CP16" s="61">
        <f>CL16+CO16</f>
        <v>-984.85962900000004</v>
      </c>
      <c r="CR16" s="58">
        <v>4</v>
      </c>
      <c r="CS16" s="47">
        <v>-990.98548900000003</v>
      </c>
      <c r="CT16" s="47">
        <v>333.15</v>
      </c>
      <c r="CU16" s="47" t="s">
        <v>463</v>
      </c>
      <c r="CV16" s="47">
        <v>4.943327</v>
      </c>
      <c r="CW16" s="61">
        <f>CS16+CV16</f>
        <v>-986.04216200000008</v>
      </c>
      <c r="CX16">
        <v>-988.87309500000003</v>
      </c>
      <c r="CY16" s="58">
        <v>4</v>
      </c>
      <c r="CZ16" s="47">
        <v>-981.68710899999996</v>
      </c>
      <c r="DA16" s="47">
        <v>333.15</v>
      </c>
      <c r="DB16" s="47" t="s">
        <v>483</v>
      </c>
      <c r="DC16" s="47">
        <v>4.9194870000000002</v>
      </c>
      <c r="DD16" s="61">
        <f>CZ16+DC16</f>
        <v>-976.76762199999996</v>
      </c>
      <c r="DE16">
        <f>DD17-DD13</f>
        <v>0.5171699999999646</v>
      </c>
    </row>
    <row r="17" spans="1:109" x14ac:dyDescent="0.2">
      <c r="A17" s="58" t="s">
        <v>270</v>
      </c>
      <c r="B17" s="47"/>
      <c r="C17" s="47">
        <v>333.15</v>
      </c>
      <c r="D17" s="47"/>
      <c r="E17" s="47"/>
      <c r="F17" s="61">
        <v>-984.35987299999999</v>
      </c>
      <c r="I17" s="58" t="s">
        <v>270</v>
      </c>
      <c r="J17" s="47"/>
      <c r="K17" s="47">
        <v>333.15</v>
      </c>
      <c r="L17" s="47"/>
      <c r="M17" s="47"/>
      <c r="N17" s="61">
        <f>N16</f>
        <v>-984.89494400000001</v>
      </c>
      <c r="Q17" s="58" t="s">
        <v>270</v>
      </c>
      <c r="R17" s="47"/>
      <c r="S17" s="47">
        <v>333.15</v>
      </c>
      <c r="T17" s="47"/>
      <c r="U17" s="47"/>
      <c r="V17" s="61">
        <f>V16</f>
        <v>-991.174622</v>
      </c>
      <c r="X17" s="58" t="s">
        <v>270</v>
      </c>
      <c r="Y17" s="47"/>
      <c r="Z17" s="47">
        <v>333.15</v>
      </c>
      <c r="AA17" s="47"/>
      <c r="AB17" s="47"/>
      <c r="AC17" s="61">
        <f>AC16</f>
        <v>-986.28183799999999</v>
      </c>
      <c r="AF17" s="144" t="s">
        <v>270</v>
      </c>
      <c r="AG17" s="101"/>
      <c r="AH17" s="101">
        <v>333.15</v>
      </c>
      <c r="AI17" s="101"/>
      <c r="AJ17" s="101"/>
      <c r="AK17" s="103">
        <f>AK16</f>
        <v>-990.11587199999997</v>
      </c>
      <c r="AM17" s="58" t="s">
        <v>270</v>
      </c>
      <c r="AN17" s="47"/>
      <c r="AO17" s="47">
        <v>333.15</v>
      </c>
      <c r="AP17" s="47"/>
      <c r="AQ17" s="47"/>
      <c r="AR17" s="61">
        <f>AR16</f>
        <v>-986.78388999999993</v>
      </c>
      <c r="AS17">
        <f>AR16-AR12</f>
        <v>0.13818400000002384</v>
      </c>
      <c r="AT17" s="58" t="s">
        <v>270</v>
      </c>
      <c r="AU17" s="47"/>
      <c r="AV17" s="47">
        <v>333.15</v>
      </c>
      <c r="AW17" s="47"/>
      <c r="AX17" s="47"/>
      <c r="AY17" s="61">
        <f>AY16</f>
        <v>-987.45783500000005</v>
      </c>
      <c r="AZ17">
        <f>AY16-AY12</f>
        <v>0.15714900000000398</v>
      </c>
      <c r="BA17" s="58" t="s">
        <v>270</v>
      </c>
      <c r="BB17" s="47"/>
      <c r="BC17" s="47">
        <v>333.15</v>
      </c>
      <c r="BD17" s="47"/>
      <c r="BE17" s="47"/>
      <c r="BF17" s="61">
        <f>BF16</f>
        <v>-989.33778900000004</v>
      </c>
      <c r="BH17" s="58" t="s">
        <v>270</v>
      </c>
      <c r="BI17" s="47"/>
      <c r="BJ17" s="47">
        <v>333.15</v>
      </c>
      <c r="BK17" s="47" t="s">
        <v>51</v>
      </c>
      <c r="BL17" s="47"/>
      <c r="BM17" s="61">
        <f>BM16</f>
        <v>-981.64024199999994</v>
      </c>
      <c r="BO17" s="58" t="s">
        <v>270</v>
      </c>
      <c r="BP17" s="47"/>
      <c r="BQ17" s="47">
        <v>333.15</v>
      </c>
      <c r="BR17" s="47"/>
      <c r="BS17" s="47"/>
      <c r="BT17" s="61">
        <f>BT16</f>
        <v>-986.86088999999993</v>
      </c>
      <c r="BV17" s="21" t="s">
        <v>270</v>
      </c>
      <c r="BW17" s="17"/>
      <c r="BX17" s="17">
        <v>333.15</v>
      </c>
      <c r="BY17" s="17"/>
      <c r="BZ17" s="17"/>
      <c r="CA17" s="22">
        <f>CA16</f>
        <v>-989.56699299999991</v>
      </c>
      <c r="CC17" s="58" t="s">
        <v>270</v>
      </c>
      <c r="CD17" s="47"/>
      <c r="CE17" s="47">
        <v>333.15</v>
      </c>
      <c r="CF17" s="47"/>
      <c r="CG17" s="47"/>
      <c r="CH17" s="47"/>
      <c r="CI17" s="61">
        <f>CI16</f>
        <v>-992.10093099999995</v>
      </c>
      <c r="CK17" s="58" t="s">
        <v>270</v>
      </c>
      <c r="CL17" s="47"/>
      <c r="CM17" s="47">
        <v>333.15</v>
      </c>
      <c r="CN17" s="47"/>
      <c r="CO17" s="47"/>
      <c r="CP17" s="61">
        <f>CP16</f>
        <v>-984.85962900000004</v>
      </c>
      <c r="CQ17">
        <f>CP17-CP13</f>
        <v>0.52040499999998246</v>
      </c>
      <c r="CR17" s="58" t="s">
        <v>270</v>
      </c>
      <c r="CS17" s="47"/>
      <c r="CT17" s="47">
        <v>333.15</v>
      </c>
      <c r="CU17" s="47"/>
      <c r="CV17" s="47"/>
      <c r="CW17" s="61">
        <f>CW16</f>
        <v>-986.04216200000008</v>
      </c>
      <c r="CY17" s="58" t="s">
        <v>270</v>
      </c>
      <c r="CZ17" s="47"/>
      <c r="DA17" s="47">
        <v>333.15</v>
      </c>
      <c r="DB17" s="47"/>
      <c r="DC17" s="47"/>
      <c r="DD17" s="61">
        <f>DD16</f>
        <v>-976.76762199999996</v>
      </c>
    </row>
    <row r="18" spans="1:109" x14ac:dyDescent="0.2">
      <c r="A18" s="148" t="s">
        <v>723</v>
      </c>
      <c r="B18" s="149"/>
      <c r="C18" s="149"/>
      <c r="D18" s="149"/>
      <c r="E18" s="149"/>
      <c r="F18" s="150"/>
      <c r="I18" s="148" t="s">
        <v>723</v>
      </c>
      <c r="J18" s="149"/>
      <c r="K18" s="149"/>
      <c r="L18" s="149"/>
      <c r="M18" s="149"/>
      <c r="N18" s="150"/>
      <c r="Q18" s="148" t="s">
        <v>723</v>
      </c>
      <c r="R18" s="149"/>
      <c r="S18" s="149"/>
      <c r="T18" s="149"/>
      <c r="U18" s="149"/>
      <c r="V18" s="150"/>
      <c r="X18" s="148" t="s">
        <v>723</v>
      </c>
      <c r="Y18" s="149"/>
      <c r="Z18" s="149"/>
      <c r="AA18" s="149"/>
      <c r="AB18" s="149"/>
      <c r="AC18" s="150"/>
      <c r="AF18" s="163" t="s">
        <v>723</v>
      </c>
      <c r="AG18" s="164"/>
      <c r="AH18" s="164"/>
      <c r="AI18" s="164"/>
      <c r="AJ18" s="164"/>
      <c r="AK18" s="165"/>
      <c r="AM18" s="148" t="s">
        <v>723</v>
      </c>
      <c r="AN18" s="149"/>
      <c r="AO18" s="149"/>
      <c r="AP18" s="149"/>
      <c r="AQ18" s="149"/>
      <c r="AR18" s="150"/>
      <c r="AT18" s="148" t="s">
        <v>723</v>
      </c>
      <c r="AU18" s="149"/>
      <c r="AV18" s="149"/>
      <c r="AW18" s="149"/>
      <c r="AX18" s="149"/>
      <c r="AY18" s="150"/>
      <c r="BA18" s="148" t="s">
        <v>723</v>
      </c>
      <c r="BB18" s="149"/>
      <c r="BC18" s="149"/>
      <c r="BD18" s="149"/>
      <c r="BE18" s="149"/>
      <c r="BF18" s="150"/>
      <c r="BH18" s="148" t="s">
        <v>723</v>
      </c>
      <c r="BI18" s="149"/>
      <c r="BJ18" s="149"/>
      <c r="BK18" s="149"/>
      <c r="BL18" s="149"/>
      <c r="BM18" s="150"/>
      <c r="BO18" s="148" t="s">
        <v>723</v>
      </c>
      <c r="BP18" s="149"/>
      <c r="BQ18" s="149"/>
      <c r="BR18" s="149"/>
      <c r="BS18" s="149"/>
      <c r="BT18" s="150"/>
      <c r="BV18" s="148" t="s">
        <v>723</v>
      </c>
      <c r="BW18" s="149"/>
      <c r="BX18" s="149"/>
      <c r="BY18" s="149"/>
      <c r="BZ18" s="149"/>
      <c r="CA18" s="150"/>
      <c r="CC18" s="148" t="s">
        <v>723</v>
      </c>
      <c r="CD18" s="149"/>
      <c r="CE18" s="149"/>
      <c r="CF18" s="149"/>
      <c r="CG18" s="149"/>
      <c r="CH18" s="149"/>
      <c r="CI18" s="150"/>
      <c r="CK18" s="148" t="s">
        <v>723</v>
      </c>
      <c r="CL18" s="149"/>
      <c r="CM18" s="149"/>
      <c r="CN18" s="149"/>
      <c r="CO18" s="149"/>
      <c r="CP18" s="150"/>
      <c r="CR18" s="148" t="s">
        <v>723</v>
      </c>
      <c r="CS18" s="149"/>
      <c r="CT18" s="149"/>
      <c r="CU18" s="149"/>
      <c r="CV18" s="149"/>
      <c r="CW18" s="150"/>
      <c r="CX18">
        <f>CW16-CW12</f>
        <v>0.19356299999992643</v>
      </c>
      <c r="CY18" s="148" t="s">
        <v>723</v>
      </c>
      <c r="CZ18" s="149"/>
      <c r="DA18" s="149"/>
      <c r="DB18" s="149"/>
      <c r="DC18" s="149"/>
      <c r="DD18" s="150"/>
    </row>
    <row r="19" spans="1:109" ht="15" x14ac:dyDescent="0.25">
      <c r="A19" s="58"/>
      <c r="B19" s="59" t="s">
        <v>259</v>
      </c>
      <c r="C19" s="59" t="s">
        <v>260</v>
      </c>
      <c r="D19" s="59" t="s">
        <v>263</v>
      </c>
      <c r="E19" s="19" t="s">
        <v>261</v>
      </c>
      <c r="F19" s="60" t="s">
        <v>262</v>
      </c>
      <c r="I19" s="58"/>
      <c r="J19" s="62" t="s">
        <v>259</v>
      </c>
      <c r="K19" s="62" t="s">
        <v>260</v>
      </c>
      <c r="L19" s="62" t="s">
        <v>263</v>
      </c>
      <c r="M19" s="28" t="s">
        <v>261</v>
      </c>
      <c r="N19" s="63" t="s">
        <v>262</v>
      </c>
      <c r="Q19" s="58"/>
      <c r="R19" s="64" t="s">
        <v>259</v>
      </c>
      <c r="S19" s="64" t="s">
        <v>260</v>
      </c>
      <c r="T19" s="64" t="s">
        <v>263</v>
      </c>
      <c r="U19" s="31" t="s">
        <v>261</v>
      </c>
      <c r="V19" s="65" t="s">
        <v>262</v>
      </c>
      <c r="X19" s="58"/>
      <c r="Y19" s="66" t="s">
        <v>259</v>
      </c>
      <c r="Z19" s="66" t="s">
        <v>260</v>
      </c>
      <c r="AA19" s="66" t="s">
        <v>263</v>
      </c>
      <c r="AB19" s="34" t="s">
        <v>261</v>
      </c>
      <c r="AC19" s="67" t="s">
        <v>262</v>
      </c>
      <c r="AF19" s="144"/>
      <c r="AG19" s="89" t="s">
        <v>259</v>
      </c>
      <c r="AH19" s="89" t="s">
        <v>260</v>
      </c>
      <c r="AI19" s="89" t="s">
        <v>263</v>
      </c>
      <c r="AJ19" s="36" t="s">
        <v>261</v>
      </c>
      <c r="AK19" s="145" t="s">
        <v>262</v>
      </c>
      <c r="AM19" s="58"/>
      <c r="AN19" s="70" t="s">
        <v>259</v>
      </c>
      <c r="AO19" s="70" t="s">
        <v>260</v>
      </c>
      <c r="AP19" s="70" t="s">
        <v>263</v>
      </c>
      <c r="AQ19" s="40" t="s">
        <v>261</v>
      </c>
      <c r="AR19" s="71" t="s">
        <v>262</v>
      </c>
      <c r="AT19" s="58"/>
      <c r="AU19" s="64" t="s">
        <v>259</v>
      </c>
      <c r="AV19" s="64" t="s">
        <v>260</v>
      </c>
      <c r="AW19" s="64" t="s">
        <v>263</v>
      </c>
      <c r="AX19" s="31" t="s">
        <v>261</v>
      </c>
      <c r="AY19" s="65" t="s">
        <v>262</v>
      </c>
      <c r="BA19" s="58"/>
      <c r="BB19" s="62" t="s">
        <v>259</v>
      </c>
      <c r="BC19" s="62" t="s">
        <v>260</v>
      </c>
      <c r="BD19" s="62" t="s">
        <v>263</v>
      </c>
      <c r="BE19" s="28" t="s">
        <v>261</v>
      </c>
      <c r="BF19" s="63" t="s">
        <v>262</v>
      </c>
      <c r="BH19" s="58"/>
      <c r="BI19" s="99" t="s">
        <v>259</v>
      </c>
      <c r="BJ19" s="99" t="s">
        <v>260</v>
      </c>
      <c r="BK19" s="99" t="s">
        <v>263</v>
      </c>
      <c r="BL19" s="42" t="s">
        <v>261</v>
      </c>
      <c r="BM19" s="100" t="s">
        <v>262</v>
      </c>
      <c r="BO19" s="58"/>
      <c r="BP19" s="64" t="s">
        <v>259</v>
      </c>
      <c r="BQ19" s="64" t="s">
        <v>260</v>
      </c>
      <c r="BR19" s="64" t="s">
        <v>263</v>
      </c>
      <c r="BS19" s="31" t="s">
        <v>261</v>
      </c>
      <c r="BT19" s="65" t="s">
        <v>262</v>
      </c>
      <c r="BV19" s="58"/>
      <c r="BW19" s="70" t="s">
        <v>259</v>
      </c>
      <c r="BX19" s="70" t="s">
        <v>260</v>
      </c>
      <c r="BY19" s="70" t="s">
        <v>263</v>
      </c>
      <c r="BZ19" s="40" t="s">
        <v>261</v>
      </c>
      <c r="CA19" s="71" t="s">
        <v>262</v>
      </c>
      <c r="CC19" s="58"/>
      <c r="CD19" s="59" t="s">
        <v>259</v>
      </c>
      <c r="CE19" s="59" t="s">
        <v>260</v>
      </c>
      <c r="CF19" s="59"/>
      <c r="CG19" s="59" t="s">
        <v>263</v>
      </c>
      <c r="CH19" s="19" t="s">
        <v>261</v>
      </c>
      <c r="CI19" s="60" t="s">
        <v>262</v>
      </c>
      <c r="CK19" s="58"/>
      <c r="CL19" s="59" t="s">
        <v>259</v>
      </c>
      <c r="CM19" s="59" t="s">
        <v>260</v>
      </c>
      <c r="CN19" s="59" t="s">
        <v>263</v>
      </c>
      <c r="CO19" s="19" t="s">
        <v>261</v>
      </c>
      <c r="CP19" s="60" t="s">
        <v>262</v>
      </c>
      <c r="CR19" s="58"/>
      <c r="CS19" s="59" t="s">
        <v>259</v>
      </c>
      <c r="CT19" s="59" t="s">
        <v>260</v>
      </c>
      <c r="CU19" s="59" t="s">
        <v>263</v>
      </c>
      <c r="CV19" s="19" t="s">
        <v>261</v>
      </c>
      <c r="CW19" s="60" t="s">
        <v>262</v>
      </c>
      <c r="CY19" s="58"/>
      <c r="CZ19" s="59" t="s">
        <v>259</v>
      </c>
      <c r="DA19" s="59" t="s">
        <v>260</v>
      </c>
      <c r="DB19" s="59" t="s">
        <v>263</v>
      </c>
      <c r="DC19" s="19" t="s">
        <v>261</v>
      </c>
      <c r="DD19" s="60" t="s">
        <v>262</v>
      </c>
    </row>
    <row r="20" spans="1:109" x14ac:dyDescent="0.2">
      <c r="A20" s="58">
        <v>5</v>
      </c>
      <c r="B20" s="47">
        <v>-991.70269199999996</v>
      </c>
      <c r="C20" s="47">
        <v>333.15</v>
      </c>
      <c r="D20" s="47" t="s">
        <v>283</v>
      </c>
      <c r="E20" s="47">
        <v>5.0044199999999996</v>
      </c>
      <c r="F20" s="61">
        <f>B20+E20</f>
        <v>-986.69827199999997</v>
      </c>
      <c r="I20" s="58">
        <v>5</v>
      </c>
      <c r="J20" s="47">
        <v>-992.387293</v>
      </c>
      <c r="K20" s="47">
        <v>333.15</v>
      </c>
      <c r="L20" s="47" t="s">
        <v>727</v>
      </c>
      <c r="M20" s="47">
        <v>5.0070819999999996</v>
      </c>
      <c r="N20" s="61">
        <f>J20+M20</f>
        <v>-987.38021100000003</v>
      </c>
      <c r="Q20" s="58">
        <v>5</v>
      </c>
      <c r="R20" s="47">
        <v>-998.75081799999998</v>
      </c>
      <c r="S20" s="47">
        <v>333.15</v>
      </c>
      <c r="T20" s="47" t="s">
        <v>730</v>
      </c>
      <c r="U20" s="47">
        <v>4.9325950000000001</v>
      </c>
      <c r="V20" s="61">
        <f>R20+U20</f>
        <v>-993.81822299999999</v>
      </c>
      <c r="X20" s="58">
        <v>5</v>
      </c>
      <c r="Y20" s="47">
        <v>-993.571731</v>
      </c>
      <c r="Z20" s="47">
        <v>333.15</v>
      </c>
      <c r="AA20" s="47" t="s">
        <v>731</v>
      </c>
      <c r="AB20" s="47">
        <v>4.9176149999999996</v>
      </c>
      <c r="AC20" s="61">
        <f>Y20+AB20</f>
        <v>-988.65411600000004</v>
      </c>
      <c r="AF20" s="144">
        <v>5</v>
      </c>
      <c r="AG20" s="101">
        <v>-996.32793600000002</v>
      </c>
      <c r="AH20" s="101">
        <v>333.15</v>
      </c>
      <c r="AI20" s="101" t="s">
        <v>320</v>
      </c>
      <c r="AJ20" s="101">
        <v>4.9525969999999999</v>
      </c>
      <c r="AK20" s="103">
        <f>AG20+AJ20</f>
        <v>-991.37533900000005</v>
      </c>
      <c r="AM20" s="58">
        <v>6</v>
      </c>
      <c r="AN20" s="47">
        <v>-888.51606200000003</v>
      </c>
      <c r="AO20" s="47">
        <v>333.15</v>
      </c>
      <c r="AP20" s="47" t="s">
        <v>327</v>
      </c>
      <c r="AQ20" s="47">
        <v>0.68337300000000001</v>
      </c>
      <c r="AR20" s="61">
        <f>AN20+AQ20</f>
        <v>-887.83268900000007</v>
      </c>
      <c r="AT20" s="58">
        <v>5</v>
      </c>
      <c r="AU20" s="47">
        <v>-994.81056699999999</v>
      </c>
      <c r="AV20" s="47">
        <v>333.15</v>
      </c>
      <c r="AW20" s="47" t="s">
        <v>332</v>
      </c>
      <c r="AX20" s="47">
        <v>5.0079890000000002</v>
      </c>
      <c r="AY20" s="61">
        <f>AU20+AX20</f>
        <v>-989.80257800000004</v>
      </c>
      <c r="BA20" s="58">
        <v>5</v>
      </c>
      <c r="BB20" s="47">
        <v>-996.93020799999999</v>
      </c>
      <c r="BC20" s="47">
        <v>333.15</v>
      </c>
      <c r="BD20" s="47" t="s">
        <v>338</v>
      </c>
      <c r="BE20" s="47">
        <v>4.9629919999999998</v>
      </c>
      <c r="BF20" s="61">
        <f>BB20+BE20</f>
        <v>-991.96721600000001</v>
      </c>
      <c r="BH20" s="58">
        <v>5</v>
      </c>
      <c r="BI20" s="47">
        <v>-987.43997000000002</v>
      </c>
      <c r="BJ20" s="47">
        <v>333.15</v>
      </c>
      <c r="BK20" s="47" t="s">
        <v>736</v>
      </c>
      <c r="BL20" s="47">
        <v>5.003698</v>
      </c>
      <c r="BM20" s="61">
        <f>BI20+BL20</f>
        <v>-982.43627200000003</v>
      </c>
      <c r="BO20" s="58">
        <v>5</v>
      </c>
      <c r="BP20" s="47">
        <v>-994.63488199999995</v>
      </c>
      <c r="BQ20" s="47">
        <v>333.15</v>
      </c>
      <c r="BR20" s="47" t="s">
        <v>410</v>
      </c>
      <c r="BS20" s="47">
        <v>5.0676860000000001</v>
      </c>
      <c r="BT20" s="61">
        <f>BP20+BS20</f>
        <v>-989.56719599999997</v>
      </c>
      <c r="BV20" s="58">
        <v>5</v>
      </c>
      <c r="BW20" s="47">
        <v>-996.61986000000002</v>
      </c>
      <c r="BX20" s="47">
        <v>333.15</v>
      </c>
      <c r="BY20" s="47" t="s">
        <v>417</v>
      </c>
      <c r="BZ20" s="47">
        <v>4.9437340000000001</v>
      </c>
      <c r="CA20" s="61">
        <f>BW20+BZ20</f>
        <v>-991.67612600000007</v>
      </c>
      <c r="CC20" s="58">
        <v>5</v>
      </c>
      <c r="CD20" s="47">
        <v>-998.31803300000001</v>
      </c>
      <c r="CE20" s="47">
        <v>333.15</v>
      </c>
      <c r="CF20" s="47"/>
      <c r="CG20" s="47" t="s">
        <v>738</v>
      </c>
      <c r="CH20" s="47">
        <v>4.9392009999999997</v>
      </c>
      <c r="CI20" s="61">
        <f>CD20+CH20</f>
        <v>-993.37883199999999</v>
      </c>
      <c r="CK20" s="58">
        <v>5</v>
      </c>
      <c r="CL20" s="47">
        <v>-992.69094199999995</v>
      </c>
      <c r="CM20" s="47">
        <v>333.15</v>
      </c>
      <c r="CN20" s="47" t="s">
        <v>457</v>
      </c>
      <c r="CO20" s="47">
        <v>5.0530489999999997</v>
      </c>
      <c r="CP20" s="61">
        <f>CL20+CO20</f>
        <v>-987.63789299999996</v>
      </c>
      <c r="CR20" s="58">
        <v>5</v>
      </c>
      <c r="CS20" s="47">
        <v>-993.75508000000002</v>
      </c>
      <c r="CT20" s="47">
        <v>333.15</v>
      </c>
      <c r="CU20" s="47" t="s">
        <v>464</v>
      </c>
      <c r="CV20" s="47">
        <v>5.0836550000000003</v>
      </c>
      <c r="CW20" s="61">
        <f>CS20+CV20</f>
        <v>-988.671425</v>
      </c>
      <c r="CY20" s="58">
        <v>5</v>
      </c>
      <c r="CZ20" s="47">
        <v>-984.23781299999996</v>
      </c>
      <c r="DA20" s="47">
        <v>333.15</v>
      </c>
      <c r="DB20" s="47" t="s">
        <v>471</v>
      </c>
      <c r="DC20" s="47">
        <v>5.0317999999999996</v>
      </c>
      <c r="DD20" s="61">
        <f>CZ20+DC20</f>
        <v>-979.20601299999998</v>
      </c>
    </row>
    <row r="21" spans="1:109" x14ac:dyDescent="0.2">
      <c r="A21" s="58" t="s">
        <v>270</v>
      </c>
      <c r="B21" s="47"/>
      <c r="C21" s="47">
        <v>333.15</v>
      </c>
      <c r="D21" s="47"/>
      <c r="E21" s="47"/>
      <c r="F21" s="61">
        <v>-986.69827199999997</v>
      </c>
      <c r="I21" s="58" t="s">
        <v>270</v>
      </c>
      <c r="J21" s="47"/>
      <c r="K21" s="47">
        <v>333.15</v>
      </c>
      <c r="L21" s="47"/>
      <c r="M21" s="47"/>
      <c r="N21" s="61">
        <f>N20</f>
        <v>-987.38021100000003</v>
      </c>
      <c r="Q21" s="58" t="s">
        <v>270</v>
      </c>
      <c r="R21" s="47"/>
      <c r="S21" s="47">
        <v>333.15</v>
      </c>
      <c r="T21" s="47"/>
      <c r="U21" s="47"/>
      <c r="V21" s="61">
        <f>V20</f>
        <v>-993.81822299999999</v>
      </c>
      <c r="X21" s="58" t="s">
        <v>270</v>
      </c>
      <c r="Y21" s="47"/>
      <c r="Z21" s="47">
        <v>333.15</v>
      </c>
      <c r="AA21" s="47"/>
      <c r="AB21" s="47"/>
      <c r="AC21" s="61">
        <f>AC20</f>
        <v>-988.65411600000004</v>
      </c>
      <c r="AF21" s="58" t="s">
        <v>270</v>
      </c>
      <c r="AG21" s="47"/>
      <c r="AH21" s="47">
        <v>333.15</v>
      </c>
      <c r="AI21" s="47"/>
      <c r="AJ21" s="47"/>
      <c r="AK21" s="61">
        <f>AK20</f>
        <v>-991.37533900000005</v>
      </c>
      <c r="AM21" s="58" t="s">
        <v>270</v>
      </c>
      <c r="AN21" s="47"/>
      <c r="AO21" s="47">
        <v>333.15</v>
      </c>
      <c r="AP21" s="47"/>
      <c r="AQ21" s="47"/>
      <c r="AR21" s="61">
        <f>AR20+F60</f>
        <v>-988.87046000000009</v>
      </c>
      <c r="AT21" s="58" t="s">
        <v>270</v>
      </c>
      <c r="AU21" s="47"/>
      <c r="AV21" s="47">
        <v>333.15</v>
      </c>
      <c r="AW21" s="47"/>
      <c r="AX21" s="47"/>
      <c r="AY21" s="61">
        <f>AY20</f>
        <v>-989.80257800000004</v>
      </c>
      <c r="BA21" s="58" t="s">
        <v>270</v>
      </c>
      <c r="BB21" s="47"/>
      <c r="BC21" s="47">
        <v>333.15</v>
      </c>
      <c r="BD21" s="47"/>
      <c r="BE21" s="47"/>
      <c r="BF21" s="61">
        <f>BF20</f>
        <v>-991.96721600000001</v>
      </c>
      <c r="BH21" s="58" t="s">
        <v>270</v>
      </c>
      <c r="BI21" s="47"/>
      <c r="BJ21" s="47">
        <v>333.15</v>
      </c>
      <c r="BK21" s="47"/>
      <c r="BL21" s="47"/>
      <c r="BM21" s="61">
        <f>BM20</f>
        <v>-982.43627200000003</v>
      </c>
      <c r="BO21" s="58" t="s">
        <v>270</v>
      </c>
      <c r="BP21" s="47"/>
      <c r="BQ21" s="47">
        <v>333.15</v>
      </c>
      <c r="BR21" s="47"/>
      <c r="BS21" s="47"/>
      <c r="BT21" s="61">
        <f>BT20</f>
        <v>-989.56719599999997</v>
      </c>
      <c r="BV21" s="58" t="s">
        <v>270</v>
      </c>
      <c r="BW21" s="47"/>
      <c r="BX21" s="47">
        <v>333.15</v>
      </c>
      <c r="BY21" s="47"/>
      <c r="BZ21" s="47"/>
      <c r="CA21" s="61">
        <f>CA20</f>
        <v>-991.67612600000007</v>
      </c>
      <c r="CC21" s="58" t="s">
        <v>270</v>
      </c>
      <c r="CD21" s="47"/>
      <c r="CE21" s="47">
        <v>333.15</v>
      </c>
      <c r="CF21" s="47"/>
      <c r="CG21" s="47"/>
      <c r="CH21" s="47"/>
      <c r="CI21" s="61">
        <f>CI20</f>
        <v>-993.37883199999999</v>
      </c>
      <c r="CK21" s="58" t="s">
        <v>270</v>
      </c>
      <c r="CL21" s="47"/>
      <c r="CM21" s="47">
        <v>333.15</v>
      </c>
      <c r="CN21" s="47"/>
      <c r="CO21" s="47"/>
      <c r="CP21" s="61">
        <f>CP20</f>
        <v>-987.63789299999996</v>
      </c>
      <c r="CR21" s="58" t="s">
        <v>270</v>
      </c>
      <c r="CS21" s="47"/>
      <c r="CT21" s="47">
        <v>333.15</v>
      </c>
      <c r="CU21" s="47"/>
      <c r="CV21" s="47"/>
      <c r="CW21" s="61">
        <f>CW20</f>
        <v>-988.671425</v>
      </c>
      <c r="CY21" s="58" t="s">
        <v>270</v>
      </c>
      <c r="CZ21" s="47"/>
      <c r="DA21" s="47">
        <v>333.15</v>
      </c>
      <c r="DB21" s="47"/>
      <c r="DC21" s="47"/>
      <c r="DD21" s="103">
        <f>DD20</f>
        <v>-979.20601299999998</v>
      </c>
    </row>
    <row r="22" spans="1:109" s="77" customFormat="1" x14ac:dyDescent="0.2">
      <c r="A22" s="148" t="s">
        <v>724</v>
      </c>
      <c r="B22" s="149"/>
      <c r="C22" s="149"/>
      <c r="D22" s="149"/>
      <c r="E22" s="149"/>
      <c r="F22" s="150"/>
      <c r="I22" s="148" t="s">
        <v>724</v>
      </c>
      <c r="J22" s="149"/>
      <c r="K22" s="149"/>
      <c r="L22" s="149"/>
      <c r="M22" s="149"/>
      <c r="N22" s="150"/>
      <c r="Q22" s="148" t="s">
        <v>724</v>
      </c>
      <c r="R22" s="149"/>
      <c r="S22" s="149"/>
      <c r="T22" s="149"/>
      <c r="U22" s="149"/>
      <c r="V22" s="150"/>
      <c r="X22" s="148" t="s">
        <v>724</v>
      </c>
      <c r="Y22" s="149"/>
      <c r="Z22" s="149"/>
      <c r="AA22" s="149"/>
      <c r="AB22" s="149"/>
      <c r="AC22" s="150"/>
      <c r="AF22" s="148" t="s">
        <v>724</v>
      </c>
      <c r="AG22" s="149"/>
      <c r="AH22" s="149"/>
      <c r="AI22" s="149"/>
      <c r="AJ22" s="149"/>
      <c r="AK22" s="150"/>
      <c r="AM22" s="148" t="s">
        <v>724</v>
      </c>
      <c r="AN22" s="149"/>
      <c r="AO22" s="149"/>
      <c r="AP22" s="149"/>
      <c r="AQ22" s="149"/>
      <c r="AR22" s="150"/>
      <c r="AT22" s="148" t="s">
        <v>724</v>
      </c>
      <c r="AU22" s="149"/>
      <c r="AV22" s="149"/>
      <c r="AW22" s="149"/>
      <c r="AX22" s="149"/>
      <c r="AY22" s="150"/>
      <c r="BA22" s="148" t="s">
        <v>724</v>
      </c>
      <c r="BB22" s="149"/>
      <c r="BC22" s="149"/>
      <c r="BD22" s="149"/>
      <c r="BE22" s="149"/>
      <c r="BF22" s="150"/>
      <c r="BH22" s="148" t="s">
        <v>724</v>
      </c>
      <c r="BI22" s="149"/>
      <c r="BJ22" s="149"/>
      <c r="BK22" s="149"/>
      <c r="BL22" s="149"/>
      <c r="BM22" s="150"/>
      <c r="BO22" s="148" t="s">
        <v>724</v>
      </c>
      <c r="BP22" s="149"/>
      <c r="BQ22" s="149"/>
      <c r="BR22" s="149"/>
      <c r="BS22" s="149"/>
      <c r="BT22" s="150"/>
      <c r="BV22" s="148" t="s">
        <v>724</v>
      </c>
      <c r="BW22" s="149"/>
      <c r="BX22" s="149"/>
      <c r="BY22" s="149"/>
      <c r="BZ22" s="149"/>
      <c r="CA22" s="150"/>
      <c r="CC22" s="148" t="s">
        <v>724</v>
      </c>
      <c r="CD22" s="149"/>
      <c r="CE22" s="149"/>
      <c r="CF22" s="149"/>
      <c r="CG22" s="149"/>
      <c r="CH22" s="149"/>
      <c r="CI22" s="150"/>
      <c r="CK22" s="148" t="s">
        <v>724</v>
      </c>
      <c r="CL22" s="149"/>
      <c r="CM22" s="149"/>
      <c r="CN22" s="149"/>
      <c r="CO22" s="149"/>
      <c r="CP22" s="150"/>
      <c r="CR22" s="148" t="s">
        <v>724</v>
      </c>
      <c r="CS22" s="149"/>
      <c r="CT22" s="149"/>
      <c r="CU22" s="149"/>
      <c r="CV22" s="149"/>
      <c r="CW22" s="150"/>
      <c r="CY22" s="148" t="s">
        <v>724</v>
      </c>
      <c r="CZ22" s="149"/>
      <c r="DA22" s="149"/>
      <c r="DB22" s="149"/>
      <c r="DC22" s="149"/>
      <c r="DD22" s="150"/>
    </row>
    <row r="23" spans="1:109" s="77" customFormat="1" ht="15" x14ac:dyDescent="0.25">
      <c r="A23" s="58"/>
      <c r="B23" s="59" t="s">
        <v>259</v>
      </c>
      <c r="C23" s="59" t="s">
        <v>260</v>
      </c>
      <c r="D23" s="59" t="s">
        <v>263</v>
      </c>
      <c r="E23" s="19" t="s">
        <v>261</v>
      </c>
      <c r="F23" s="60" t="s">
        <v>262</v>
      </c>
      <c r="I23" s="58"/>
      <c r="J23" s="62" t="s">
        <v>259</v>
      </c>
      <c r="K23" s="62" t="s">
        <v>260</v>
      </c>
      <c r="L23" s="62" t="s">
        <v>263</v>
      </c>
      <c r="M23" s="28" t="s">
        <v>261</v>
      </c>
      <c r="N23" s="63" t="s">
        <v>262</v>
      </c>
      <c r="Q23" s="135"/>
      <c r="R23" s="64" t="s">
        <v>259</v>
      </c>
      <c r="S23" s="64" t="s">
        <v>260</v>
      </c>
      <c r="T23" s="64" t="s">
        <v>263</v>
      </c>
      <c r="U23" s="31" t="s">
        <v>261</v>
      </c>
      <c r="V23" s="65" t="s">
        <v>262</v>
      </c>
      <c r="X23" s="58"/>
      <c r="Y23" s="66" t="s">
        <v>259</v>
      </c>
      <c r="Z23" s="66" t="s">
        <v>260</v>
      </c>
      <c r="AA23" s="66" t="s">
        <v>263</v>
      </c>
      <c r="AB23" s="34" t="s">
        <v>261</v>
      </c>
      <c r="AC23" s="67" t="s">
        <v>262</v>
      </c>
      <c r="AF23" s="58"/>
      <c r="AG23" s="68" t="s">
        <v>259</v>
      </c>
      <c r="AH23" s="68" t="s">
        <v>260</v>
      </c>
      <c r="AI23" s="68" t="s">
        <v>263</v>
      </c>
      <c r="AJ23" s="37" t="s">
        <v>261</v>
      </c>
      <c r="AK23" s="69" t="s">
        <v>262</v>
      </c>
      <c r="AM23" s="58"/>
      <c r="AN23" s="70" t="s">
        <v>259</v>
      </c>
      <c r="AO23" s="70" t="s">
        <v>260</v>
      </c>
      <c r="AP23" s="70" t="s">
        <v>263</v>
      </c>
      <c r="AQ23" s="40" t="s">
        <v>261</v>
      </c>
      <c r="AR23" s="71" t="s">
        <v>262</v>
      </c>
      <c r="AT23" s="58"/>
      <c r="AU23" s="64" t="s">
        <v>259</v>
      </c>
      <c r="AV23" s="64" t="s">
        <v>260</v>
      </c>
      <c r="AW23" s="64" t="s">
        <v>263</v>
      </c>
      <c r="AX23" s="31" t="s">
        <v>261</v>
      </c>
      <c r="AY23" s="65" t="s">
        <v>262</v>
      </c>
      <c r="BA23" s="58"/>
      <c r="BB23" s="62" t="s">
        <v>259</v>
      </c>
      <c r="BC23" s="62" t="s">
        <v>260</v>
      </c>
      <c r="BD23" s="62" t="s">
        <v>263</v>
      </c>
      <c r="BE23" s="28" t="s">
        <v>261</v>
      </c>
      <c r="BF23" s="63" t="s">
        <v>262</v>
      </c>
      <c r="BH23" s="58"/>
      <c r="BI23" s="99" t="s">
        <v>259</v>
      </c>
      <c r="BJ23" s="99" t="s">
        <v>260</v>
      </c>
      <c r="BK23" s="99" t="s">
        <v>263</v>
      </c>
      <c r="BL23" s="42" t="s">
        <v>261</v>
      </c>
      <c r="BM23" s="100" t="s">
        <v>262</v>
      </c>
      <c r="BO23" s="58"/>
      <c r="BP23" s="64" t="s">
        <v>259</v>
      </c>
      <c r="BQ23" s="64" t="s">
        <v>260</v>
      </c>
      <c r="BR23" s="64" t="s">
        <v>263</v>
      </c>
      <c r="BS23" s="31" t="s">
        <v>261</v>
      </c>
      <c r="BT23" s="65" t="s">
        <v>262</v>
      </c>
      <c r="BV23" s="21"/>
      <c r="BW23" s="39" t="s">
        <v>259</v>
      </c>
      <c r="BX23" s="39" t="s">
        <v>260</v>
      </c>
      <c r="BY23" s="39" t="s">
        <v>263</v>
      </c>
      <c r="BZ23" s="40" t="s">
        <v>261</v>
      </c>
      <c r="CA23" s="41" t="s">
        <v>262</v>
      </c>
      <c r="CC23" s="58"/>
      <c r="CD23" s="59" t="s">
        <v>259</v>
      </c>
      <c r="CE23" s="59" t="s">
        <v>260</v>
      </c>
      <c r="CF23" s="59"/>
      <c r="CG23" s="59" t="s">
        <v>263</v>
      </c>
      <c r="CH23" s="19" t="s">
        <v>261</v>
      </c>
      <c r="CI23" s="60" t="s">
        <v>262</v>
      </c>
      <c r="CK23" s="58"/>
      <c r="CL23" s="59" t="s">
        <v>259</v>
      </c>
      <c r="CM23" s="59" t="s">
        <v>260</v>
      </c>
      <c r="CN23" s="59" t="s">
        <v>263</v>
      </c>
      <c r="CO23" s="19" t="s">
        <v>261</v>
      </c>
      <c r="CP23" s="60" t="s">
        <v>262</v>
      </c>
      <c r="CR23" s="58"/>
      <c r="CS23" s="59" t="s">
        <v>259</v>
      </c>
      <c r="CT23" s="59" t="s">
        <v>260</v>
      </c>
      <c r="CU23" s="59" t="s">
        <v>263</v>
      </c>
      <c r="CV23" s="19" t="s">
        <v>261</v>
      </c>
      <c r="CW23" s="60" t="s">
        <v>262</v>
      </c>
      <c r="CY23" s="58"/>
      <c r="CZ23" s="59" t="s">
        <v>259</v>
      </c>
      <c r="DA23" s="59" t="s">
        <v>260</v>
      </c>
      <c r="DB23" s="59" t="s">
        <v>263</v>
      </c>
      <c r="DC23" s="19" t="s">
        <v>261</v>
      </c>
      <c r="DD23" s="60" t="s">
        <v>262</v>
      </c>
    </row>
    <row r="24" spans="1:109" s="55" customFormat="1" x14ac:dyDescent="0.2">
      <c r="A24" s="58">
        <v>6</v>
      </c>
      <c r="B24" s="47">
        <v>-885.31630399999995</v>
      </c>
      <c r="C24" s="47"/>
      <c r="D24" s="47" t="s">
        <v>849</v>
      </c>
      <c r="E24" s="47">
        <f>1.46853/2</f>
        <v>0.73426499999999995</v>
      </c>
      <c r="F24" s="61">
        <f>B24+E24</f>
        <v>-884.5820389999999</v>
      </c>
      <c r="I24" s="58">
        <v>6</v>
      </c>
      <c r="J24" s="47">
        <v>-885.47737400000005</v>
      </c>
      <c r="K24" s="47"/>
      <c r="L24" s="47" t="s">
        <v>845</v>
      </c>
      <c r="M24" s="47">
        <f>1.530536/2</f>
        <v>0.76526799999999995</v>
      </c>
      <c r="N24" s="61">
        <f>J24+M24</f>
        <v>-884.71210600000006</v>
      </c>
      <c r="Q24" s="81">
        <v>6</v>
      </c>
      <c r="R24" s="132">
        <v>-890.87086299999999</v>
      </c>
      <c r="S24" s="132"/>
      <c r="T24" s="132" t="s">
        <v>844</v>
      </c>
      <c r="U24" s="132">
        <f>1.475906/2</f>
        <v>0.73795299999999997</v>
      </c>
      <c r="V24" s="134">
        <f>R24+U24</f>
        <v>-890.13291000000004</v>
      </c>
      <c r="X24" s="58">
        <v>6</v>
      </c>
      <c r="Y24" s="136">
        <v>-887.08373800000004</v>
      </c>
      <c r="Z24" s="136"/>
      <c r="AA24" t="s">
        <v>510</v>
      </c>
      <c r="AB24" s="132">
        <f>1.436096/2</f>
        <v>0.71804800000000002</v>
      </c>
      <c r="AC24" s="140">
        <f>Y24+AB24</f>
        <v>-886.36569000000009</v>
      </c>
      <c r="AF24" s="58">
        <v>6</v>
      </c>
      <c r="AG24" s="136">
        <v>-888.90224699999999</v>
      </c>
      <c r="AH24" s="136"/>
      <c r="AI24" s="136" t="s">
        <v>846</v>
      </c>
      <c r="AJ24" s="136">
        <f>1.466934/2</f>
        <v>0.73346699999999998</v>
      </c>
      <c r="AK24" s="137">
        <f>AG24+AJ24</f>
        <v>-888.16877999999997</v>
      </c>
      <c r="AM24" s="58">
        <v>7</v>
      </c>
      <c r="AN24" s="132">
        <v>-887.08373800000004</v>
      </c>
      <c r="AO24" s="136"/>
      <c r="AP24" s="132" t="s">
        <v>848</v>
      </c>
      <c r="AQ24" s="136">
        <f>1.462976/2</f>
        <v>0.73148800000000003</v>
      </c>
      <c r="AR24" s="137">
        <f>AN24+AQ24</f>
        <v>-886.35225000000003</v>
      </c>
      <c r="AT24" s="135"/>
      <c r="AU24" s="132">
        <v>-887.68915400000003</v>
      </c>
      <c r="AV24" s="132"/>
      <c r="AW24" s="132" t="s">
        <v>821</v>
      </c>
      <c r="AX24" s="132">
        <f>1.546541/2</f>
        <v>0.77327049999999997</v>
      </c>
      <c r="AY24" s="134">
        <f>AU24+AX24</f>
        <v>-886.91588350000006</v>
      </c>
      <c r="BA24" s="58">
        <v>6</v>
      </c>
      <c r="BB24" s="132">
        <v>-894.16288099999997</v>
      </c>
      <c r="BC24" s="136"/>
      <c r="BD24" s="132" t="s">
        <v>843</v>
      </c>
      <c r="BE24" s="136">
        <f>1.443179/2</f>
        <v>0.72158949999999999</v>
      </c>
      <c r="BF24" s="137">
        <f>BB24+BE24</f>
        <v>-893.44129149999992</v>
      </c>
      <c r="BH24" s="135"/>
      <c r="BI24" s="132">
        <v>-881.34502299999997</v>
      </c>
      <c r="BJ24" s="136"/>
      <c r="BK24" s="132" t="s">
        <v>842</v>
      </c>
      <c r="BL24" s="136">
        <f>1.515518/2</f>
        <v>0.75775899999999996</v>
      </c>
      <c r="BM24" s="137">
        <f>BI24+BL24</f>
        <v>-880.587264</v>
      </c>
      <c r="BO24" s="135"/>
      <c r="BP24" s="132">
        <v>-888.10152900000003</v>
      </c>
      <c r="BQ24" s="132"/>
      <c r="BR24" s="77" t="s">
        <v>503</v>
      </c>
      <c r="BS24" s="132">
        <f>1.766909/2</f>
        <v>0.88345450000000003</v>
      </c>
      <c r="BT24" s="134">
        <f>BP24+BS24</f>
        <v>-887.21807450000006</v>
      </c>
      <c r="BV24" s="58">
        <v>6</v>
      </c>
      <c r="BW24" s="132">
        <v>-889.53933099999995</v>
      </c>
      <c r="BX24" s="75"/>
      <c r="BY24" s="132" t="s">
        <v>841</v>
      </c>
      <c r="BZ24" s="136">
        <f>1.46839/2</f>
        <v>0.73419500000000004</v>
      </c>
      <c r="CA24" s="137">
        <f>BW24+BZ24</f>
        <v>-888.80513599999995</v>
      </c>
      <c r="CC24" s="135"/>
      <c r="CD24" s="136">
        <v>-890.669533</v>
      </c>
      <c r="CE24" s="136"/>
      <c r="CF24" s="136"/>
      <c r="CG24" s="136" t="s">
        <v>840</v>
      </c>
      <c r="CH24" s="136">
        <f>1.413682/2</f>
        <v>0.70684100000000005</v>
      </c>
      <c r="CI24" s="137">
        <f>CD24+CH24</f>
        <v>-889.96269199999995</v>
      </c>
      <c r="CK24" s="135"/>
      <c r="CL24" s="136">
        <v>-885.60199999999998</v>
      </c>
      <c r="CM24" s="136"/>
      <c r="CN24" s="136" t="s">
        <v>859</v>
      </c>
      <c r="CO24" s="136">
        <f>1.544361/2</f>
        <v>0.77218050000000005</v>
      </c>
      <c r="CP24" s="137">
        <f>CL24+CO24</f>
        <v>-884.82981949999999</v>
      </c>
      <c r="CR24" s="135"/>
      <c r="CS24" s="132">
        <v>-888.38987699999996</v>
      </c>
      <c r="CT24" s="136"/>
      <c r="CU24" s="132" t="s">
        <v>839</v>
      </c>
      <c r="CV24" s="136">
        <f>1.696545/2</f>
        <v>0.84827249999999998</v>
      </c>
      <c r="CW24" s="137">
        <f>CS24+CV24</f>
        <v>-887.54160449999995</v>
      </c>
      <c r="CY24" s="135"/>
      <c r="CZ24" s="136">
        <v>-877.99653000000001</v>
      </c>
      <c r="DA24" s="136"/>
      <c r="DB24" s="132" t="s">
        <v>838</v>
      </c>
      <c r="DC24" s="136">
        <f>1.569884/2</f>
        <v>0.78494200000000003</v>
      </c>
      <c r="DD24" s="137">
        <f>CZ24+DC24</f>
        <v>-877.21158800000001</v>
      </c>
    </row>
    <row r="25" spans="1:109" s="55" customFormat="1" x14ac:dyDescent="0.2">
      <c r="A25" s="58" t="s">
        <v>726</v>
      </c>
      <c r="B25" s="47"/>
      <c r="C25" s="47"/>
      <c r="D25" s="47"/>
      <c r="E25" s="47"/>
      <c r="F25" s="61"/>
      <c r="I25" s="58" t="s">
        <v>270</v>
      </c>
      <c r="J25" s="47"/>
      <c r="K25" s="47"/>
      <c r="L25" s="47"/>
      <c r="M25" s="47"/>
      <c r="N25" s="61"/>
      <c r="Q25" s="81" t="s">
        <v>270</v>
      </c>
      <c r="R25" s="132"/>
      <c r="S25" s="132"/>
      <c r="T25" s="132"/>
      <c r="U25" s="132"/>
      <c r="V25" s="134"/>
      <c r="X25" s="58" t="s">
        <v>270</v>
      </c>
      <c r="Y25" s="136"/>
      <c r="Z25" s="136"/>
      <c r="AA25" s="136"/>
      <c r="AB25" s="136"/>
      <c r="AC25" s="137"/>
      <c r="AF25" s="58" t="s">
        <v>270</v>
      </c>
      <c r="AG25" s="136"/>
      <c r="AH25" s="136"/>
      <c r="AI25" s="136"/>
      <c r="AJ25" s="136"/>
      <c r="AK25" s="137"/>
      <c r="AM25" s="58" t="s">
        <v>270</v>
      </c>
      <c r="AN25" s="136"/>
      <c r="AO25" s="136"/>
      <c r="AP25" s="136"/>
      <c r="AQ25" s="136"/>
      <c r="AR25" s="137"/>
      <c r="AT25" s="135"/>
      <c r="AU25" s="132"/>
      <c r="AV25" s="132"/>
      <c r="AW25" s="132"/>
      <c r="AX25" s="132"/>
      <c r="AY25" s="134"/>
      <c r="BA25" s="58" t="s">
        <v>270</v>
      </c>
      <c r="BB25" s="136"/>
      <c r="BC25" s="136"/>
      <c r="BD25" s="136"/>
      <c r="BE25" s="136"/>
      <c r="BF25" s="137"/>
      <c r="BH25" s="135"/>
      <c r="BI25" s="136"/>
      <c r="BJ25" s="136"/>
      <c r="BK25" s="136"/>
      <c r="BL25" s="136"/>
      <c r="BM25" s="137"/>
      <c r="BO25" s="135"/>
      <c r="BP25" s="132"/>
      <c r="BQ25" s="132"/>
      <c r="BR25" s="132"/>
      <c r="BS25" s="132"/>
      <c r="BT25" s="134"/>
      <c r="BV25" s="58" t="s">
        <v>270</v>
      </c>
      <c r="BW25" s="75"/>
      <c r="BX25" s="75"/>
      <c r="BY25" s="75"/>
      <c r="BZ25" s="75"/>
      <c r="CA25" s="76"/>
      <c r="CC25" s="135"/>
      <c r="CD25" s="136"/>
      <c r="CE25" s="136"/>
      <c r="CF25" s="136"/>
      <c r="CG25" s="136"/>
      <c r="CH25" s="136"/>
      <c r="CI25" s="137"/>
      <c r="CK25" s="135"/>
      <c r="CL25" s="136"/>
      <c r="CM25" s="136"/>
      <c r="CN25" s="136"/>
      <c r="CO25" s="136"/>
      <c r="CP25" s="137"/>
      <c r="CR25" s="135"/>
      <c r="CS25" s="136"/>
      <c r="CT25" s="136"/>
      <c r="CU25" s="136"/>
      <c r="CV25" s="136"/>
      <c r="CW25" s="137"/>
      <c r="CY25" s="135"/>
      <c r="CZ25" s="136"/>
      <c r="DA25" s="136"/>
      <c r="DB25" s="136"/>
      <c r="DC25" s="136"/>
      <c r="DD25" s="137"/>
    </row>
    <row r="26" spans="1:109" s="55" customFormat="1" x14ac:dyDescent="0.2">
      <c r="A26" s="151" t="s">
        <v>265</v>
      </c>
      <c r="B26" s="161"/>
      <c r="C26" s="161"/>
      <c r="D26" s="161"/>
      <c r="E26" s="161"/>
      <c r="F26" s="162"/>
      <c r="I26" s="151" t="s">
        <v>265</v>
      </c>
      <c r="J26" s="149"/>
      <c r="K26" s="149"/>
      <c r="L26" s="149"/>
      <c r="M26" s="149"/>
      <c r="N26" s="150"/>
      <c r="Q26" s="151" t="s">
        <v>265</v>
      </c>
      <c r="R26" s="149"/>
      <c r="S26" s="149"/>
      <c r="T26" s="149"/>
      <c r="U26" s="149"/>
      <c r="V26" s="150"/>
      <c r="X26" s="151" t="s">
        <v>265</v>
      </c>
      <c r="Y26" s="149"/>
      <c r="Z26" s="149"/>
      <c r="AA26" s="149"/>
      <c r="AB26" s="149"/>
      <c r="AC26" s="150"/>
      <c r="AF26" s="151" t="s">
        <v>265</v>
      </c>
      <c r="AG26" s="149"/>
      <c r="AH26" s="149"/>
      <c r="AI26" s="149"/>
      <c r="AJ26" s="149"/>
      <c r="AK26" s="150"/>
      <c r="AM26" s="151" t="s">
        <v>265</v>
      </c>
      <c r="AN26" s="149"/>
      <c r="AO26" s="149"/>
      <c r="AP26" s="149"/>
      <c r="AQ26" s="149"/>
      <c r="AR26" s="150"/>
      <c r="AT26" s="151" t="s">
        <v>265</v>
      </c>
      <c r="AU26" s="149"/>
      <c r="AV26" s="149"/>
      <c r="AW26" s="149"/>
      <c r="AX26" s="149"/>
      <c r="AY26" s="150"/>
      <c r="BA26" s="151" t="s">
        <v>265</v>
      </c>
      <c r="BB26" s="149"/>
      <c r="BC26" s="149"/>
      <c r="BD26" s="149"/>
      <c r="BE26" s="149"/>
      <c r="BF26" s="150"/>
      <c r="BH26" s="151" t="s">
        <v>265</v>
      </c>
      <c r="BI26" s="149"/>
      <c r="BJ26" s="149"/>
      <c r="BK26" s="149"/>
      <c r="BL26" s="149"/>
      <c r="BM26" s="150"/>
      <c r="BO26" s="151" t="s">
        <v>265</v>
      </c>
      <c r="BP26" s="149"/>
      <c r="BQ26" s="149"/>
      <c r="BR26" s="149"/>
      <c r="BS26" s="149"/>
      <c r="BT26" s="150"/>
      <c r="BV26" s="151" t="s">
        <v>265</v>
      </c>
      <c r="BW26" s="149"/>
      <c r="BX26" s="149"/>
      <c r="BY26" s="149"/>
      <c r="BZ26" s="149"/>
      <c r="CA26" s="150"/>
      <c r="CC26" s="151" t="s">
        <v>265</v>
      </c>
      <c r="CD26" s="161"/>
      <c r="CE26" s="161"/>
      <c r="CF26" s="161"/>
      <c r="CG26" s="161"/>
      <c r="CH26" s="161"/>
      <c r="CI26" s="162"/>
      <c r="CK26" s="151" t="s">
        <v>265</v>
      </c>
      <c r="CL26" s="149"/>
      <c r="CM26" s="149"/>
      <c r="CN26" s="149"/>
      <c r="CO26" s="149"/>
      <c r="CP26" s="150"/>
      <c r="CR26" s="151" t="s">
        <v>265</v>
      </c>
      <c r="CS26" s="149"/>
      <c r="CT26" s="149"/>
      <c r="CU26" s="149"/>
      <c r="CV26" s="149"/>
      <c r="CW26" s="150"/>
      <c r="CY26" s="151" t="s">
        <v>265</v>
      </c>
      <c r="CZ26" s="149"/>
      <c r="DA26" s="149"/>
      <c r="DB26" s="149"/>
      <c r="DC26" s="149"/>
      <c r="DD26" s="150"/>
    </row>
    <row r="27" spans="1:109" s="55" customFormat="1" ht="15" x14ac:dyDescent="0.25">
      <c r="A27" s="58"/>
      <c r="B27" s="59" t="s">
        <v>259</v>
      </c>
      <c r="C27" s="59" t="s">
        <v>260</v>
      </c>
      <c r="D27" s="59" t="s">
        <v>263</v>
      </c>
      <c r="E27" s="19" t="s">
        <v>261</v>
      </c>
      <c r="F27" s="60" t="s">
        <v>262</v>
      </c>
      <c r="I27" s="58"/>
      <c r="J27" s="62" t="s">
        <v>259</v>
      </c>
      <c r="K27" s="62" t="s">
        <v>260</v>
      </c>
      <c r="L27" s="62" t="s">
        <v>263</v>
      </c>
      <c r="M27" s="28" t="s">
        <v>261</v>
      </c>
      <c r="N27" s="63" t="s">
        <v>262</v>
      </c>
      <c r="Q27" s="135"/>
      <c r="R27" s="64" t="s">
        <v>259</v>
      </c>
      <c r="S27" s="64" t="s">
        <v>260</v>
      </c>
      <c r="T27" s="64" t="s">
        <v>263</v>
      </c>
      <c r="U27" s="31" t="s">
        <v>261</v>
      </c>
      <c r="V27" s="65" t="s">
        <v>262</v>
      </c>
      <c r="X27" s="58"/>
      <c r="Y27" s="66" t="s">
        <v>259</v>
      </c>
      <c r="Z27" s="66" t="s">
        <v>260</v>
      </c>
      <c r="AA27" s="66" t="s">
        <v>263</v>
      </c>
      <c r="AB27" s="34" t="s">
        <v>261</v>
      </c>
      <c r="AC27" s="67" t="s">
        <v>262</v>
      </c>
      <c r="AF27" s="58"/>
      <c r="AG27" s="68" t="s">
        <v>259</v>
      </c>
      <c r="AH27" s="68" t="s">
        <v>260</v>
      </c>
      <c r="AI27" s="68" t="s">
        <v>263</v>
      </c>
      <c r="AJ27" s="37" t="s">
        <v>261</v>
      </c>
      <c r="AK27" s="69" t="s">
        <v>262</v>
      </c>
      <c r="AM27" s="58"/>
      <c r="AN27" s="70" t="s">
        <v>259</v>
      </c>
      <c r="AO27" s="70" t="s">
        <v>260</v>
      </c>
      <c r="AP27" s="70" t="s">
        <v>263</v>
      </c>
      <c r="AQ27" s="40" t="s">
        <v>261</v>
      </c>
      <c r="AR27" s="71" t="s">
        <v>262</v>
      </c>
      <c r="AT27" s="58"/>
      <c r="AU27" s="64" t="s">
        <v>259</v>
      </c>
      <c r="AV27" s="64" t="s">
        <v>260</v>
      </c>
      <c r="AW27" s="64" t="s">
        <v>263</v>
      </c>
      <c r="AX27" s="31" t="s">
        <v>261</v>
      </c>
      <c r="AY27" s="65" t="s">
        <v>262</v>
      </c>
      <c r="BA27" s="58"/>
      <c r="BB27" s="62" t="s">
        <v>259</v>
      </c>
      <c r="BC27" s="62" t="s">
        <v>260</v>
      </c>
      <c r="BD27" s="62" t="s">
        <v>263</v>
      </c>
      <c r="BE27" s="28" t="s">
        <v>261</v>
      </c>
      <c r="BF27" s="63" t="s">
        <v>262</v>
      </c>
      <c r="BH27" s="58"/>
      <c r="BI27" s="99" t="s">
        <v>259</v>
      </c>
      <c r="BJ27" s="99" t="s">
        <v>260</v>
      </c>
      <c r="BK27" s="99" t="s">
        <v>263</v>
      </c>
      <c r="BL27" s="42" t="s">
        <v>261</v>
      </c>
      <c r="BM27" s="100" t="s">
        <v>262</v>
      </c>
      <c r="BO27" s="58"/>
      <c r="BP27" s="64" t="s">
        <v>259</v>
      </c>
      <c r="BQ27" s="64" t="s">
        <v>260</v>
      </c>
      <c r="BR27" s="64" t="s">
        <v>263</v>
      </c>
      <c r="BS27" s="31" t="s">
        <v>261</v>
      </c>
      <c r="BT27" s="65" t="s">
        <v>262</v>
      </c>
      <c r="BV27" s="21"/>
      <c r="BW27" s="39" t="s">
        <v>259</v>
      </c>
      <c r="BX27" s="39" t="s">
        <v>260</v>
      </c>
      <c r="BY27" s="39" t="s">
        <v>263</v>
      </c>
      <c r="BZ27" s="40" t="s">
        <v>261</v>
      </c>
      <c r="CA27" s="41" t="s">
        <v>262</v>
      </c>
      <c r="CC27" s="58"/>
      <c r="CD27" s="59" t="s">
        <v>259</v>
      </c>
      <c r="CE27" s="59" t="s">
        <v>260</v>
      </c>
      <c r="CF27" s="59"/>
      <c r="CG27" s="59" t="s">
        <v>263</v>
      </c>
      <c r="CH27" s="19" t="s">
        <v>261</v>
      </c>
      <c r="CI27" s="60" t="s">
        <v>262</v>
      </c>
      <c r="CK27" s="58"/>
      <c r="CL27" s="59" t="s">
        <v>259</v>
      </c>
      <c r="CM27" s="59" t="s">
        <v>260</v>
      </c>
      <c r="CN27" s="59" t="s">
        <v>263</v>
      </c>
      <c r="CO27" s="19" t="s">
        <v>261</v>
      </c>
      <c r="CP27" s="60" t="s">
        <v>262</v>
      </c>
      <c r="CR27" s="58"/>
      <c r="CS27" s="59" t="s">
        <v>259</v>
      </c>
      <c r="CT27" s="59" t="s">
        <v>260</v>
      </c>
      <c r="CU27" s="59" t="s">
        <v>263</v>
      </c>
      <c r="CV27" s="19" t="s">
        <v>261</v>
      </c>
      <c r="CW27" s="60" t="s">
        <v>262</v>
      </c>
      <c r="CY27" s="58"/>
      <c r="CZ27" s="59" t="s">
        <v>259</v>
      </c>
      <c r="DA27" s="59" t="s">
        <v>260</v>
      </c>
      <c r="DB27" s="59" t="s">
        <v>263</v>
      </c>
      <c r="DC27" s="19" t="s">
        <v>261</v>
      </c>
      <c r="DD27" s="60" t="s">
        <v>262</v>
      </c>
    </row>
    <row r="28" spans="1:109" s="55" customFormat="1" x14ac:dyDescent="0.2">
      <c r="A28" s="58">
        <v>7</v>
      </c>
      <c r="B28" s="47">
        <v>-885.14459999999997</v>
      </c>
      <c r="C28" s="47"/>
      <c r="D28" s="47" t="s">
        <v>837</v>
      </c>
      <c r="E28" s="47">
        <f>1.471085/2</f>
        <v>0.73554249999999999</v>
      </c>
      <c r="F28" s="61">
        <f>B28+E28</f>
        <v>-884.40905750000002</v>
      </c>
      <c r="G28" s="55">
        <f>F28-F24</f>
        <v>0.172981499999878</v>
      </c>
      <c r="I28" s="58">
        <v>7</v>
      </c>
      <c r="J28" s="47">
        <v>-885.18824500000005</v>
      </c>
      <c r="K28" s="47"/>
      <c r="L28" s="47" t="s">
        <v>722</v>
      </c>
      <c r="M28" s="47">
        <f>1.331707/2</f>
        <v>0.66585349999999999</v>
      </c>
      <c r="N28" s="61">
        <f>J28+M28</f>
        <v>-884.52239150000003</v>
      </c>
      <c r="O28" s="55">
        <f>N28-N24</f>
        <v>0.18971450000003642</v>
      </c>
      <c r="Q28" s="81">
        <v>7</v>
      </c>
      <c r="R28" s="132">
        <v>-890.52650400000005</v>
      </c>
      <c r="S28" s="136"/>
      <c r="T28" s="132" t="s">
        <v>836</v>
      </c>
      <c r="U28" s="136">
        <f xml:space="preserve"> 1.235118 /2</f>
        <v>0.61755899999999997</v>
      </c>
      <c r="V28" s="137">
        <f>R28+U28</f>
        <v>-889.90894500000002</v>
      </c>
      <c r="W28" s="55">
        <f>V28-V24</f>
        <v>0.22396500000002106</v>
      </c>
      <c r="X28" s="58">
        <v>7</v>
      </c>
      <c r="Y28" s="141">
        <v>-886.74820699999998</v>
      </c>
      <c r="Z28" s="141"/>
      <c r="AA28" s="142" t="s">
        <v>883</v>
      </c>
      <c r="AB28" s="142">
        <f>1.20078/2</f>
        <v>0.60038999999999998</v>
      </c>
      <c r="AC28" s="140">
        <f>Y28+AB28</f>
        <v>-886.14781700000003</v>
      </c>
      <c r="AD28" s="55">
        <f>AC28-AC24</f>
        <v>0.21787300000005416</v>
      </c>
      <c r="AF28" s="58">
        <v>7</v>
      </c>
      <c r="AG28" s="136">
        <v>-888.79849999999999</v>
      </c>
      <c r="AH28" s="136"/>
      <c r="AI28" s="136" t="s">
        <v>847</v>
      </c>
      <c r="AJ28" s="136">
        <f>1.314189/2</f>
        <v>0.65709450000000003</v>
      </c>
      <c r="AK28" s="137">
        <f>AG28+AJ28</f>
        <v>-888.14140550000002</v>
      </c>
      <c r="AL28" s="55">
        <f>AK28-AK24</f>
        <v>2.7374499999950785E-2</v>
      </c>
      <c r="AM28" s="58">
        <v>8</v>
      </c>
      <c r="AN28" s="132">
        <v>-886.95310300000006</v>
      </c>
      <c r="AO28" s="136"/>
      <c r="AP28" s="132" t="s">
        <v>835</v>
      </c>
      <c r="AQ28" s="136">
        <f>1.176066/2</f>
        <v>0.58803300000000003</v>
      </c>
      <c r="AR28" s="137">
        <f>AN28+AQ28</f>
        <v>-886.36507000000006</v>
      </c>
      <c r="AS28" s="55">
        <f>AR28-AR24</f>
        <v>-1.282000000003336E-2</v>
      </c>
      <c r="AT28" s="135"/>
      <c r="AU28" s="132">
        <v>-887.6327</v>
      </c>
      <c r="AV28" s="132"/>
      <c r="AW28" s="132" t="s">
        <v>822</v>
      </c>
      <c r="AX28" s="132">
        <f>1.384279 /2</f>
        <v>0.69213950000000002</v>
      </c>
      <c r="AY28" s="134">
        <f>AU28+AX28</f>
        <v>-886.94056049999995</v>
      </c>
      <c r="AZ28" s="55">
        <f>AY28-AY24</f>
        <v>-2.4676999999883265E-2</v>
      </c>
      <c r="BA28" s="135"/>
      <c r="BB28" s="132">
        <v>-894.08870000000002</v>
      </c>
      <c r="BC28" s="136"/>
      <c r="BD28" s="132" t="s">
        <v>834</v>
      </c>
      <c r="BE28" s="136">
        <f>1.417183/2</f>
        <v>0.70859150000000004</v>
      </c>
      <c r="BF28" s="137">
        <f>BB28+BE28</f>
        <v>-893.38010850000001</v>
      </c>
      <c r="BG28" s="55">
        <f>BF28-BF24</f>
        <v>6.11829999999145E-2</v>
      </c>
      <c r="BH28" s="135"/>
      <c r="BI28" s="132">
        <v>-881.00874699999997</v>
      </c>
      <c r="BJ28" s="136"/>
      <c r="BK28" s="132" t="s">
        <v>833</v>
      </c>
      <c r="BL28" s="136">
        <f>1.294954/2</f>
        <v>0.64747699999999997</v>
      </c>
      <c r="BM28" s="137">
        <f>BI28+BL28</f>
        <v>-880.36126999999999</v>
      </c>
      <c r="BN28" s="55">
        <f>BM28-BM24</f>
        <v>0.22599400000001424</v>
      </c>
      <c r="BO28" s="135"/>
      <c r="BP28" s="132">
        <v>-887.98180000000002</v>
      </c>
      <c r="BQ28" s="132"/>
      <c r="BR28" s="77" t="s">
        <v>820</v>
      </c>
      <c r="BS28" s="132">
        <f>1.839825/2</f>
        <v>0.91991250000000002</v>
      </c>
      <c r="BT28" s="134">
        <f>BP28+BS28</f>
        <v>-887.06188750000001</v>
      </c>
      <c r="BV28" s="58">
        <v>7</v>
      </c>
      <c r="BW28" s="132">
        <v>-889.30719999999997</v>
      </c>
      <c r="BX28" s="132"/>
      <c r="BY28" s="132" t="s">
        <v>832</v>
      </c>
      <c r="BZ28" s="132">
        <f>1.220604/2</f>
        <v>0.61030200000000001</v>
      </c>
      <c r="CA28" s="134">
        <f>BW28+BZ28</f>
        <v>-888.69689799999992</v>
      </c>
      <c r="CC28" s="135"/>
      <c r="CD28" s="136">
        <v>-890.57309999999995</v>
      </c>
      <c r="CE28" s="136"/>
      <c r="CF28" s="136"/>
      <c r="CG28" s="136" t="s">
        <v>831</v>
      </c>
      <c r="CH28" s="136">
        <f>1.25275/2</f>
        <v>0.62637500000000002</v>
      </c>
      <c r="CI28" s="137">
        <f>CD28+CH28</f>
        <v>-889.9467249999999</v>
      </c>
      <c r="CK28" s="135"/>
      <c r="CL28" s="136">
        <v>-885.53373499999998</v>
      </c>
      <c r="CM28" s="136"/>
      <c r="CN28" s="136" t="s">
        <v>858</v>
      </c>
      <c r="CO28" s="136">
        <f>1.02152/2</f>
        <v>0.51075999999999999</v>
      </c>
      <c r="CP28" s="137">
        <f>CL28+CO28</f>
        <v>-885.02297499999997</v>
      </c>
      <c r="CR28" s="135"/>
      <c r="CS28" s="132">
        <v>-888.01390700000002</v>
      </c>
      <c r="CT28" s="136"/>
      <c r="CU28" s="132" t="s">
        <v>830</v>
      </c>
      <c r="CV28" s="136">
        <f>1.498747/2</f>
        <v>0.74937350000000003</v>
      </c>
      <c r="CW28" s="137">
        <f>CS28+CV28</f>
        <v>-887.26453349999997</v>
      </c>
      <c r="CX28" s="55">
        <f>CW28-CW24</f>
        <v>0.27707099999997808</v>
      </c>
      <c r="CY28" s="135"/>
      <c r="CZ28" s="136">
        <v>-877.86648700000001</v>
      </c>
      <c r="DA28" s="136"/>
      <c r="DB28" s="136" t="s">
        <v>829</v>
      </c>
      <c r="DC28" s="136">
        <f>1.376013/2</f>
        <v>0.68800649999999997</v>
      </c>
      <c r="DD28" s="137">
        <f>CZ28+DC28</f>
        <v>-877.17848049999998</v>
      </c>
      <c r="DE28" s="117">
        <f>DD28-DD24</f>
        <v>3.3107500000028267E-2</v>
      </c>
    </row>
    <row r="29" spans="1:109" s="55" customFormat="1" x14ac:dyDescent="0.2">
      <c r="A29" s="58" t="s">
        <v>726</v>
      </c>
      <c r="B29" s="47"/>
      <c r="C29" s="47"/>
      <c r="D29" s="47"/>
      <c r="E29" s="47"/>
      <c r="F29" s="61"/>
      <c r="I29" s="58" t="s">
        <v>270</v>
      </c>
      <c r="J29" s="47"/>
      <c r="K29" s="47"/>
      <c r="L29" s="47"/>
      <c r="M29" s="47"/>
      <c r="N29" s="61"/>
      <c r="Q29" s="81" t="s">
        <v>270</v>
      </c>
      <c r="R29" s="136"/>
      <c r="S29" s="136"/>
      <c r="T29" s="136"/>
      <c r="U29" s="136"/>
      <c r="V29" s="137"/>
      <c r="X29" s="58" t="s">
        <v>270</v>
      </c>
      <c r="Y29" s="136"/>
      <c r="Z29" s="136"/>
      <c r="AA29" s="136"/>
      <c r="AB29" s="136"/>
      <c r="AC29" s="137"/>
      <c r="AF29" s="58" t="s">
        <v>270</v>
      </c>
      <c r="AG29" s="136"/>
      <c r="AH29" s="136"/>
      <c r="AI29" s="136"/>
      <c r="AJ29" s="136"/>
      <c r="AK29" s="137"/>
      <c r="AM29" s="58" t="s">
        <v>270</v>
      </c>
      <c r="AN29" s="136"/>
      <c r="AO29" s="136"/>
      <c r="AP29" s="136"/>
      <c r="AQ29" s="136"/>
      <c r="AR29" s="137"/>
      <c r="AT29" s="135"/>
      <c r="AU29" s="132"/>
      <c r="AV29" s="132"/>
      <c r="AW29" s="132"/>
      <c r="AX29" s="132"/>
      <c r="AY29" s="134"/>
      <c r="BA29" s="135"/>
      <c r="BB29" s="136"/>
      <c r="BC29" s="136"/>
      <c r="BD29" s="136"/>
      <c r="BE29" s="136"/>
      <c r="BF29" s="137"/>
      <c r="BH29" s="135"/>
      <c r="BI29" s="136"/>
      <c r="BJ29" s="136"/>
      <c r="BK29" s="136"/>
      <c r="BL29" s="136"/>
      <c r="BM29" s="137"/>
      <c r="BO29" s="135"/>
      <c r="BP29" s="132"/>
      <c r="BQ29" s="132"/>
      <c r="BR29" s="132"/>
      <c r="BS29" s="132"/>
      <c r="BT29" s="134"/>
      <c r="BV29" s="58" t="s">
        <v>270</v>
      </c>
      <c r="BW29" s="132"/>
      <c r="BX29" s="132"/>
      <c r="BY29" s="132"/>
      <c r="BZ29" s="132"/>
      <c r="CA29" s="134"/>
      <c r="CC29" s="135"/>
      <c r="CD29" s="136"/>
      <c r="CE29" s="136"/>
      <c r="CF29" s="136"/>
      <c r="CG29" s="136"/>
      <c r="CH29" s="136"/>
      <c r="CI29" s="137"/>
      <c r="CK29" s="135"/>
      <c r="CL29" s="136"/>
      <c r="CM29" s="136"/>
      <c r="CN29" s="136"/>
      <c r="CO29" s="136"/>
      <c r="CP29" s="137"/>
      <c r="CR29" s="135"/>
      <c r="CS29" s="136"/>
      <c r="CT29" s="136"/>
      <c r="CU29" s="136"/>
      <c r="CV29" s="136"/>
      <c r="CW29" s="137"/>
      <c r="CY29" s="135"/>
      <c r="CZ29" s="136"/>
      <c r="DA29" s="136"/>
      <c r="DB29" s="136"/>
      <c r="DC29" s="136"/>
      <c r="DD29" s="137"/>
    </row>
    <row r="30" spans="1:109" s="77" customFormat="1" x14ac:dyDescent="0.2">
      <c r="A30" s="148" t="s">
        <v>725</v>
      </c>
      <c r="B30" s="149"/>
      <c r="C30" s="149"/>
      <c r="D30" s="149"/>
      <c r="E30" s="149"/>
      <c r="F30" s="150"/>
      <c r="I30" s="148" t="s">
        <v>725</v>
      </c>
      <c r="J30" s="149"/>
      <c r="K30" s="149"/>
      <c r="L30" s="149"/>
      <c r="M30" s="149"/>
      <c r="N30" s="150"/>
      <c r="Q30" s="148" t="s">
        <v>725</v>
      </c>
      <c r="R30" s="149"/>
      <c r="S30" s="149"/>
      <c r="T30" s="149"/>
      <c r="U30" s="149"/>
      <c r="V30" s="150"/>
      <c r="X30" s="148" t="s">
        <v>725</v>
      </c>
      <c r="Y30" s="149"/>
      <c r="Z30" s="149"/>
      <c r="AA30" s="149"/>
      <c r="AB30" s="149"/>
      <c r="AC30" s="150"/>
      <c r="AF30" s="148" t="s">
        <v>725</v>
      </c>
      <c r="AG30" s="149"/>
      <c r="AH30" s="149"/>
      <c r="AI30" s="149"/>
      <c r="AJ30" s="149"/>
      <c r="AK30" s="150"/>
      <c r="AM30" s="148" t="s">
        <v>725</v>
      </c>
      <c r="AN30" s="149"/>
      <c r="AO30" s="149"/>
      <c r="AP30" s="149"/>
      <c r="AQ30" s="149"/>
      <c r="AR30" s="150"/>
      <c r="AT30" s="148" t="s">
        <v>725</v>
      </c>
      <c r="AU30" s="149"/>
      <c r="AV30" s="149"/>
      <c r="AW30" s="149"/>
      <c r="AX30" s="149"/>
      <c r="AY30" s="150"/>
      <c r="BA30" s="148" t="s">
        <v>725</v>
      </c>
      <c r="BB30" s="149"/>
      <c r="BC30" s="149"/>
      <c r="BD30" s="149"/>
      <c r="BE30" s="149"/>
      <c r="BF30" s="150"/>
      <c r="BH30" s="148" t="s">
        <v>725</v>
      </c>
      <c r="BI30" s="149"/>
      <c r="BJ30" s="149"/>
      <c r="BK30" s="149"/>
      <c r="BL30" s="149"/>
      <c r="BM30" s="150"/>
      <c r="BO30" s="148" t="s">
        <v>725</v>
      </c>
      <c r="BP30" s="149"/>
      <c r="BQ30" s="149"/>
      <c r="BR30" s="149"/>
      <c r="BS30" s="149"/>
      <c r="BT30" s="150"/>
      <c r="BV30" s="148" t="s">
        <v>725</v>
      </c>
      <c r="BW30" s="149"/>
      <c r="BX30" s="149"/>
      <c r="BY30" s="149"/>
      <c r="BZ30" s="149"/>
      <c r="CA30" s="150"/>
      <c r="CC30" s="148" t="s">
        <v>725</v>
      </c>
      <c r="CD30" s="149"/>
      <c r="CE30" s="149"/>
      <c r="CF30" s="149"/>
      <c r="CG30" s="149"/>
      <c r="CH30" s="149"/>
      <c r="CI30" s="150"/>
      <c r="CK30" s="148" t="s">
        <v>725</v>
      </c>
      <c r="CL30" s="149"/>
      <c r="CM30" s="149"/>
      <c r="CN30" s="149"/>
      <c r="CO30" s="149"/>
      <c r="CP30" s="150"/>
      <c r="CR30" s="148" t="s">
        <v>725</v>
      </c>
      <c r="CS30" s="149"/>
      <c r="CT30" s="149"/>
      <c r="CU30" s="149"/>
      <c r="CV30" s="149"/>
      <c r="CW30" s="150"/>
      <c r="CY30" s="148" t="s">
        <v>725</v>
      </c>
      <c r="CZ30" s="149"/>
      <c r="DA30" s="149"/>
      <c r="DB30" s="149"/>
      <c r="DC30" s="149"/>
      <c r="DD30" s="150"/>
    </row>
    <row r="31" spans="1:109" s="55" customFormat="1" ht="15" x14ac:dyDescent="0.25">
      <c r="A31" s="58"/>
      <c r="B31" s="59" t="s">
        <v>259</v>
      </c>
      <c r="C31" s="59" t="s">
        <v>260</v>
      </c>
      <c r="D31" s="59" t="s">
        <v>263</v>
      </c>
      <c r="E31" s="19" t="s">
        <v>261</v>
      </c>
      <c r="F31" s="60" t="s">
        <v>262</v>
      </c>
      <c r="I31" s="58">
        <v>8</v>
      </c>
      <c r="J31" s="62" t="s">
        <v>259</v>
      </c>
      <c r="K31" s="62" t="s">
        <v>260</v>
      </c>
      <c r="L31" s="62" t="s">
        <v>263</v>
      </c>
      <c r="M31" s="28" t="s">
        <v>261</v>
      </c>
      <c r="N31" s="63" t="s">
        <v>262</v>
      </c>
      <c r="Q31" s="135"/>
      <c r="R31" s="64" t="s">
        <v>259</v>
      </c>
      <c r="S31" s="64" t="s">
        <v>260</v>
      </c>
      <c r="T31" s="64" t="s">
        <v>263</v>
      </c>
      <c r="U31" s="31" t="s">
        <v>261</v>
      </c>
      <c r="V31" s="65" t="s">
        <v>262</v>
      </c>
      <c r="X31" s="58"/>
      <c r="Y31" s="66" t="s">
        <v>259</v>
      </c>
      <c r="Z31" s="66" t="s">
        <v>260</v>
      </c>
      <c r="AA31" s="66" t="s">
        <v>263</v>
      </c>
      <c r="AB31" s="34" t="s">
        <v>261</v>
      </c>
      <c r="AC31" s="67" t="s">
        <v>262</v>
      </c>
      <c r="AF31" s="58"/>
      <c r="AG31" s="68" t="s">
        <v>259</v>
      </c>
      <c r="AH31" s="68" t="s">
        <v>260</v>
      </c>
      <c r="AI31" s="68" t="s">
        <v>263</v>
      </c>
      <c r="AJ31" s="37" t="s">
        <v>261</v>
      </c>
      <c r="AK31" s="69" t="s">
        <v>262</v>
      </c>
      <c r="AM31" s="58"/>
      <c r="AN31" s="70" t="s">
        <v>259</v>
      </c>
      <c r="AO31" s="70" t="s">
        <v>260</v>
      </c>
      <c r="AP31" s="70" t="s">
        <v>263</v>
      </c>
      <c r="AQ31" s="40" t="s">
        <v>261</v>
      </c>
      <c r="AR31" s="71" t="s">
        <v>262</v>
      </c>
      <c r="AT31" s="58"/>
      <c r="AU31" s="64" t="s">
        <v>259</v>
      </c>
      <c r="AV31" s="64" t="s">
        <v>260</v>
      </c>
      <c r="AW31" s="64" t="s">
        <v>263</v>
      </c>
      <c r="AX31" s="31" t="s">
        <v>261</v>
      </c>
      <c r="AY31" s="65" t="s">
        <v>262</v>
      </c>
      <c r="BA31" s="58"/>
      <c r="BB31" s="62" t="s">
        <v>259</v>
      </c>
      <c r="BC31" s="62" t="s">
        <v>260</v>
      </c>
      <c r="BD31" s="62" t="s">
        <v>263</v>
      </c>
      <c r="BE31" s="28" t="s">
        <v>261</v>
      </c>
      <c r="BF31" s="63" t="s">
        <v>262</v>
      </c>
      <c r="BH31" s="58"/>
      <c r="BI31" s="99" t="s">
        <v>259</v>
      </c>
      <c r="BJ31" s="99" t="s">
        <v>260</v>
      </c>
      <c r="BK31" s="99" t="s">
        <v>263</v>
      </c>
      <c r="BL31" s="42" t="s">
        <v>261</v>
      </c>
      <c r="BM31" s="100" t="s">
        <v>262</v>
      </c>
      <c r="BO31" s="58"/>
      <c r="BP31" s="64" t="s">
        <v>259</v>
      </c>
      <c r="BQ31" s="64" t="s">
        <v>260</v>
      </c>
      <c r="BR31" s="64" t="s">
        <v>263</v>
      </c>
      <c r="BS31" s="31" t="s">
        <v>261</v>
      </c>
      <c r="BT31" s="65" t="s">
        <v>262</v>
      </c>
      <c r="BV31" s="21"/>
      <c r="BW31" s="39" t="s">
        <v>259</v>
      </c>
      <c r="BX31" s="39" t="s">
        <v>260</v>
      </c>
      <c r="BY31" s="39" t="s">
        <v>263</v>
      </c>
      <c r="BZ31" s="40" t="s">
        <v>261</v>
      </c>
      <c r="CA31" s="41" t="s">
        <v>262</v>
      </c>
      <c r="CC31" s="58"/>
      <c r="CD31" s="59" t="s">
        <v>259</v>
      </c>
      <c r="CE31" s="59" t="s">
        <v>260</v>
      </c>
      <c r="CF31" s="59"/>
      <c r="CG31" s="59" t="s">
        <v>263</v>
      </c>
      <c r="CH31" s="19" t="s">
        <v>261</v>
      </c>
      <c r="CI31" s="60" t="s">
        <v>262</v>
      </c>
      <c r="CK31" s="58"/>
      <c r="CL31" s="59" t="s">
        <v>259</v>
      </c>
      <c r="CM31" s="59" t="s">
        <v>260</v>
      </c>
      <c r="CN31" s="59" t="s">
        <v>263</v>
      </c>
      <c r="CO31" s="19" t="s">
        <v>261</v>
      </c>
      <c r="CP31" s="60" t="s">
        <v>262</v>
      </c>
      <c r="CR31" s="58"/>
      <c r="CS31" s="59" t="s">
        <v>259</v>
      </c>
      <c r="CT31" s="59" t="s">
        <v>260</v>
      </c>
      <c r="CU31" s="59" t="s">
        <v>263</v>
      </c>
      <c r="CV31" s="19" t="s">
        <v>261</v>
      </c>
      <c r="CW31" s="60" t="s">
        <v>262</v>
      </c>
      <c r="CY31" s="58"/>
      <c r="CZ31" s="59" t="s">
        <v>259</v>
      </c>
      <c r="DA31" s="59" t="s">
        <v>260</v>
      </c>
      <c r="DB31" s="59" t="s">
        <v>263</v>
      </c>
      <c r="DC31" s="19" t="s">
        <v>261</v>
      </c>
      <c r="DD31" s="60" t="s">
        <v>262</v>
      </c>
    </row>
    <row r="32" spans="1:109" s="55" customFormat="1" x14ac:dyDescent="0.2">
      <c r="A32" s="58">
        <v>8</v>
      </c>
      <c r="B32" s="47">
        <v>-885.97596899999996</v>
      </c>
      <c r="C32" s="47">
        <v>333.15</v>
      </c>
      <c r="D32" s="47" t="s">
        <v>293</v>
      </c>
      <c r="E32" s="47">
        <v>0.776864</v>
      </c>
      <c r="F32" s="61">
        <f>B32+E32</f>
        <v>-885.19910499999992</v>
      </c>
      <c r="I32" s="58" t="s">
        <v>270</v>
      </c>
      <c r="J32" s="47">
        <v>-886.798632</v>
      </c>
      <c r="K32" s="47">
        <v>333.15</v>
      </c>
      <c r="L32" s="47" t="s">
        <v>728</v>
      </c>
      <c r="M32" s="47">
        <v>0.79070700000000005</v>
      </c>
      <c r="N32" s="61">
        <f>J32+M32</f>
        <v>-886.007925</v>
      </c>
      <c r="Q32" s="81">
        <v>8</v>
      </c>
      <c r="R32" s="47">
        <v>-893.14996599999995</v>
      </c>
      <c r="S32" s="47">
        <v>333.15</v>
      </c>
      <c r="T32" s="47" t="s">
        <v>298</v>
      </c>
      <c r="U32" s="47">
        <v>0.75157799999999997</v>
      </c>
      <c r="V32" s="61">
        <f>R32+U32</f>
        <v>-892.39838799999995</v>
      </c>
      <c r="X32" s="58">
        <v>8</v>
      </c>
      <c r="Y32" s="47">
        <v>-887.87527299999999</v>
      </c>
      <c r="Z32" s="47">
        <v>333.15</v>
      </c>
      <c r="AA32" s="47" t="s">
        <v>732</v>
      </c>
      <c r="AB32" s="47">
        <v>0.69674800000000003</v>
      </c>
      <c r="AC32" s="61">
        <f>Y32+AB32</f>
        <v>-887.17852500000004</v>
      </c>
      <c r="AF32" s="58">
        <v>8</v>
      </c>
      <c r="AG32" s="47">
        <v>-890.70829700000002</v>
      </c>
      <c r="AH32" s="47">
        <v>333.15</v>
      </c>
      <c r="AI32" s="47" t="s">
        <v>733</v>
      </c>
      <c r="AJ32" s="47">
        <v>0.74787000000000003</v>
      </c>
      <c r="AK32" s="61">
        <f>AG32+AJ32</f>
        <v>-889.96042699999998</v>
      </c>
      <c r="AM32" s="58">
        <v>9</v>
      </c>
      <c r="AN32" s="47">
        <v>-994.08416099999999</v>
      </c>
      <c r="AO32" s="47">
        <v>333.15</v>
      </c>
      <c r="AP32" s="47" t="s">
        <v>326</v>
      </c>
      <c r="AQ32" s="47">
        <v>4.9191969999999996</v>
      </c>
      <c r="AR32" s="61">
        <f>AN32+AQ32</f>
        <v>-989.16496399999994</v>
      </c>
      <c r="AT32" s="58">
        <v>6</v>
      </c>
      <c r="AU32" s="47">
        <v>-889.20000500000003</v>
      </c>
      <c r="AV32" s="47">
        <v>333.15</v>
      </c>
      <c r="AW32" s="47" t="s">
        <v>734</v>
      </c>
      <c r="AX32" s="47">
        <v>0.79879199999999995</v>
      </c>
      <c r="AY32" s="61">
        <f>AU32+AX32</f>
        <v>-888.40121299999998</v>
      </c>
      <c r="BA32" s="58">
        <v>6</v>
      </c>
      <c r="BB32" s="47">
        <v>-891.33496200000002</v>
      </c>
      <c r="BC32" s="47">
        <v>333.15</v>
      </c>
      <c r="BD32" s="47" t="s">
        <v>735</v>
      </c>
      <c r="BE32" s="47">
        <v>0.77478899999999995</v>
      </c>
      <c r="BF32" s="61">
        <f>BB32+BE32</f>
        <v>-890.56017299999996</v>
      </c>
      <c r="BH32" s="58">
        <v>6</v>
      </c>
      <c r="BI32" s="47">
        <v>-881.822316</v>
      </c>
      <c r="BJ32" s="47">
        <v>333.15</v>
      </c>
      <c r="BK32" s="47" t="s">
        <v>438</v>
      </c>
      <c r="BL32" s="47">
        <v>0.75447200000000003</v>
      </c>
      <c r="BM32" s="61">
        <f>BI32+BL32</f>
        <v>-881.06784400000004</v>
      </c>
      <c r="BO32" s="58">
        <v>6</v>
      </c>
      <c r="BP32" s="47">
        <v>-889.68933900000002</v>
      </c>
      <c r="BQ32" s="47">
        <v>333.15</v>
      </c>
      <c r="BR32" s="47" t="s">
        <v>411</v>
      </c>
      <c r="BS32" s="47">
        <v>1.0372140000000001</v>
      </c>
      <c r="BT32" s="61">
        <f>BP32+BS32</f>
        <v>-888.65212500000007</v>
      </c>
      <c r="BV32" s="21">
        <v>8</v>
      </c>
      <c r="BW32" s="17">
        <v>-890.92097699999999</v>
      </c>
      <c r="BX32" s="17">
        <v>333.15</v>
      </c>
      <c r="BY32" s="17" t="s">
        <v>416</v>
      </c>
      <c r="BZ32" s="17">
        <v>0.712754</v>
      </c>
      <c r="CA32" s="22">
        <f>BW32+BZ32</f>
        <v>-890.20822299999998</v>
      </c>
      <c r="CC32" s="58">
        <v>6</v>
      </c>
      <c r="CD32" s="47">
        <v>-892.698172</v>
      </c>
      <c r="CE32" s="47">
        <v>333.15</v>
      </c>
      <c r="CF32" s="47"/>
      <c r="CG32" s="47" t="s">
        <v>427</v>
      </c>
      <c r="CH32" s="47">
        <v>0.72305699999999995</v>
      </c>
      <c r="CI32" s="61">
        <f>CD32+CH32</f>
        <v>-891.97511499999996</v>
      </c>
      <c r="CK32" s="58">
        <v>6</v>
      </c>
      <c r="CL32" s="47">
        <v>-887.09024899999997</v>
      </c>
      <c r="CM32" s="47">
        <v>333.15</v>
      </c>
      <c r="CN32" s="47" t="s">
        <v>458</v>
      </c>
      <c r="CO32" s="47">
        <v>0.82157800000000003</v>
      </c>
      <c r="CP32" s="61">
        <f>CL32+CO32</f>
        <v>-886.26867099999993</v>
      </c>
      <c r="CR32" s="135"/>
      <c r="CS32" s="47">
        <v>-888.01293999999996</v>
      </c>
      <c r="CT32" s="47">
        <v>333.15</v>
      </c>
      <c r="CU32" s="47" t="s">
        <v>465</v>
      </c>
      <c r="CV32" s="47">
        <v>0.87673000000000001</v>
      </c>
      <c r="CW32" s="61">
        <f>CS32+CV32</f>
        <v>-887.13621000000001</v>
      </c>
      <c r="CY32" s="58">
        <v>6</v>
      </c>
      <c r="CZ32" s="47">
        <v>-878.62263399999995</v>
      </c>
      <c r="DA32" s="47">
        <v>333.15</v>
      </c>
      <c r="DB32" s="47" t="s">
        <v>469</v>
      </c>
      <c r="DC32" s="47">
        <v>0.83663699999999996</v>
      </c>
      <c r="DD32" s="61">
        <f>CZ32+DC32</f>
        <v>-877.78599699999995</v>
      </c>
    </row>
    <row r="33" spans="1:108" s="55" customFormat="1" x14ac:dyDescent="0.2">
      <c r="A33" s="58" t="s">
        <v>270</v>
      </c>
      <c r="B33" s="47"/>
      <c r="C33" s="47">
        <v>333.15</v>
      </c>
      <c r="D33" s="47"/>
      <c r="E33" s="47"/>
      <c r="F33" s="61">
        <f>F32+F60</f>
        <v>-986.23687599999994</v>
      </c>
      <c r="I33" s="58"/>
      <c r="J33" s="47"/>
      <c r="K33" s="47">
        <v>333.15</v>
      </c>
      <c r="L33" s="47"/>
      <c r="M33" s="47"/>
      <c r="N33" s="61">
        <f>N32+F60</f>
        <v>-987.04569600000002</v>
      </c>
      <c r="Q33" s="81" t="s">
        <v>270</v>
      </c>
      <c r="R33" s="47"/>
      <c r="S33" s="47">
        <v>333.15</v>
      </c>
      <c r="T33" s="47"/>
      <c r="U33" s="47"/>
      <c r="V33" s="61">
        <f>V32+F60</f>
        <v>-993.43615899999998</v>
      </c>
      <c r="X33" s="58" t="s">
        <v>270</v>
      </c>
      <c r="Y33" s="47"/>
      <c r="Z33" s="47">
        <v>333.15</v>
      </c>
      <c r="AA33" s="47"/>
      <c r="AB33" s="47"/>
      <c r="AC33" s="61">
        <f>AC32+F60</f>
        <v>-988.21629600000006</v>
      </c>
      <c r="AF33" s="58" t="s">
        <v>270</v>
      </c>
      <c r="AG33" s="47"/>
      <c r="AH33" s="47">
        <v>333.15</v>
      </c>
      <c r="AI33" s="47"/>
      <c r="AJ33" s="47"/>
      <c r="AK33" s="61">
        <f>AK32+F60</f>
        <v>-990.998198</v>
      </c>
      <c r="AM33" s="58" t="s">
        <v>270</v>
      </c>
      <c r="AN33" s="47"/>
      <c r="AO33" s="47">
        <v>333.15</v>
      </c>
      <c r="AP33" s="47"/>
      <c r="AQ33" s="47"/>
      <c r="AR33" s="61">
        <f>AR32</f>
        <v>-989.16496399999994</v>
      </c>
      <c r="AT33" s="58" t="s">
        <v>270</v>
      </c>
      <c r="AU33" s="47"/>
      <c r="AV33" s="47">
        <v>333.15</v>
      </c>
      <c r="AW33" s="47"/>
      <c r="AX33" s="47"/>
      <c r="AY33" s="61">
        <f>AY32+F60</f>
        <v>-989.438984</v>
      </c>
      <c r="BA33" s="58" t="s">
        <v>270</v>
      </c>
      <c r="BB33" s="47"/>
      <c r="BC33" s="47">
        <v>333.15</v>
      </c>
      <c r="BD33" s="47"/>
      <c r="BE33" s="47"/>
      <c r="BF33" s="61">
        <f>BF32+F60</f>
        <v>-991.59794399999998</v>
      </c>
      <c r="BH33" s="58" t="s">
        <v>270</v>
      </c>
      <c r="BI33" s="47"/>
      <c r="BJ33" s="47">
        <v>333.15</v>
      </c>
      <c r="BK33" s="47"/>
      <c r="BL33" s="47"/>
      <c r="BM33" s="61">
        <f>BM32+F60</f>
        <v>-982.10561500000006</v>
      </c>
      <c r="BO33" s="58" t="s">
        <v>270</v>
      </c>
      <c r="BP33" s="47"/>
      <c r="BQ33" s="47">
        <v>333.15</v>
      </c>
      <c r="BR33" s="47"/>
      <c r="BS33" s="47"/>
      <c r="BT33" s="61">
        <f>BT32+F60</f>
        <v>-989.68989600000009</v>
      </c>
      <c r="BV33" s="21" t="s">
        <v>270</v>
      </c>
      <c r="BW33" s="17"/>
      <c r="BX33" s="17">
        <v>333.15</v>
      </c>
      <c r="BY33" s="17"/>
      <c r="BZ33" s="17"/>
      <c r="CA33" s="22">
        <f>CA32+F60</f>
        <v>-991.245994</v>
      </c>
      <c r="CC33" s="58" t="s">
        <v>270</v>
      </c>
      <c r="CD33" s="47"/>
      <c r="CE33" s="47">
        <v>333.15</v>
      </c>
      <c r="CF33" s="47"/>
      <c r="CG33" s="47"/>
      <c r="CH33" s="47"/>
      <c r="CI33" s="61">
        <f>CI32+F60</f>
        <v>-993.01288599999998</v>
      </c>
      <c r="CK33" s="58" t="s">
        <v>270</v>
      </c>
      <c r="CL33" s="47"/>
      <c r="CM33" s="47">
        <v>333.15</v>
      </c>
      <c r="CN33" s="47"/>
      <c r="CO33" s="47"/>
      <c r="CP33" s="61">
        <f>CP32+F60</f>
        <v>-987.30644199999995</v>
      </c>
      <c r="CR33" s="135"/>
      <c r="CS33" s="47"/>
      <c r="CT33" s="47">
        <v>333.15</v>
      </c>
      <c r="CU33" s="47"/>
      <c r="CV33" s="47"/>
      <c r="CW33" s="61">
        <f>CW32+F60</f>
        <v>-988.17398100000003</v>
      </c>
      <c r="CY33" s="58" t="s">
        <v>270</v>
      </c>
      <c r="CZ33" s="47"/>
      <c r="DA33" s="47">
        <v>333.15</v>
      </c>
      <c r="DB33" s="47"/>
      <c r="DC33" s="47"/>
      <c r="DD33" s="61">
        <f>DD32+F52</f>
        <v>-877.78599699999995</v>
      </c>
    </row>
    <row r="34" spans="1:108" s="77" customFormat="1" x14ac:dyDescent="0.2">
      <c r="A34" s="148" t="s">
        <v>287</v>
      </c>
      <c r="B34" s="149"/>
      <c r="C34" s="149"/>
      <c r="D34" s="149"/>
      <c r="E34" s="149"/>
      <c r="F34" s="150"/>
      <c r="I34" s="148" t="s">
        <v>287</v>
      </c>
      <c r="J34" s="149"/>
      <c r="K34" s="149"/>
      <c r="L34" s="149"/>
      <c r="M34" s="149"/>
      <c r="N34" s="150"/>
      <c r="Q34" s="148" t="s">
        <v>287</v>
      </c>
      <c r="R34" s="149"/>
      <c r="S34" s="149"/>
      <c r="T34" s="149"/>
      <c r="U34" s="149"/>
      <c r="V34" s="150"/>
      <c r="X34" s="148" t="s">
        <v>287</v>
      </c>
      <c r="Y34" s="149"/>
      <c r="Z34" s="149"/>
      <c r="AA34" s="149"/>
      <c r="AB34" s="149"/>
      <c r="AC34" s="150"/>
      <c r="AF34" s="148" t="s">
        <v>287</v>
      </c>
      <c r="AG34" s="149"/>
      <c r="AH34" s="149"/>
      <c r="AI34" s="149"/>
      <c r="AJ34" s="149"/>
      <c r="AK34" s="150"/>
      <c r="AM34" s="148" t="s">
        <v>287</v>
      </c>
      <c r="AN34" s="149"/>
      <c r="AO34" s="149"/>
      <c r="AP34" s="149"/>
      <c r="AQ34" s="149"/>
      <c r="AR34" s="150"/>
      <c r="AT34" s="148" t="s">
        <v>287</v>
      </c>
      <c r="AU34" s="149"/>
      <c r="AV34" s="149"/>
      <c r="AW34" s="149"/>
      <c r="AX34" s="149"/>
      <c r="AY34" s="150"/>
      <c r="BA34" s="148" t="s">
        <v>287</v>
      </c>
      <c r="BB34" s="149"/>
      <c r="BC34" s="149"/>
      <c r="BD34" s="149"/>
      <c r="BE34" s="149"/>
      <c r="BF34" s="150"/>
      <c r="BH34" s="148" t="s">
        <v>737</v>
      </c>
      <c r="BI34" s="149"/>
      <c r="BJ34" s="149"/>
      <c r="BK34" s="149"/>
      <c r="BL34" s="149"/>
      <c r="BM34" s="150"/>
      <c r="BO34" s="148" t="s">
        <v>737</v>
      </c>
      <c r="BP34" s="149"/>
      <c r="BQ34" s="149"/>
      <c r="BR34" s="149"/>
      <c r="BS34" s="149"/>
      <c r="BT34" s="150"/>
      <c r="BV34" s="148" t="s">
        <v>737</v>
      </c>
      <c r="BW34" s="149"/>
      <c r="BX34" s="149"/>
      <c r="BY34" s="149"/>
      <c r="BZ34" s="149"/>
      <c r="CA34" s="150"/>
      <c r="CC34" s="148" t="s">
        <v>737</v>
      </c>
      <c r="CD34" s="149"/>
      <c r="CE34" s="149"/>
      <c r="CF34" s="149"/>
      <c r="CG34" s="149"/>
      <c r="CH34" s="149"/>
      <c r="CI34" s="150"/>
      <c r="CK34" s="148" t="s">
        <v>737</v>
      </c>
      <c r="CL34" s="149"/>
      <c r="CM34" s="149"/>
      <c r="CN34" s="149"/>
      <c r="CO34" s="149"/>
      <c r="CP34" s="150"/>
      <c r="CR34" s="148" t="s">
        <v>287</v>
      </c>
      <c r="CS34" s="149"/>
      <c r="CT34" s="149"/>
      <c r="CU34" s="149"/>
      <c r="CV34" s="149"/>
      <c r="CW34" s="150"/>
      <c r="CY34" s="148" t="s">
        <v>287</v>
      </c>
      <c r="CZ34" s="149"/>
      <c r="DA34" s="149"/>
      <c r="DB34" s="149"/>
      <c r="DC34" s="149"/>
      <c r="DD34" s="150"/>
    </row>
    <row r="35" spans="1:108" s="55" customFormat="1" ht="15" x14ac:dyDescent="0.25">
      <c r="A35" s="58"/>
      <c r="B35" s="59" t="s">
        <v>259</v>
      </c>
      <c r="C35" s="59" t="s">
        <v>260</v>
      </c>
      <c r="D35" s="59" t="s">
        <v>263</v>
      </c>
      <c r="E35" s="19" t="s">
        <v>261</v>
      </c>
      <c r="F35" s="60" t="s">
        <v>262</v>
      </c>
      <c r="I35" s="58"/>
      <c r="J35" s="62" t="s">
        <v>259</v>
      </c>
      <c r="K35" s="62" t="s">
        <v>260</v>
      </c>
      <c r="L35" s="62" t="s">
        <v>263</v>
      </c>
      <c r="M35" s="28" t="s">
        <v>261</v>
      </c>
      <c r="N35" s="63" t="s">
        <v>262</v>
      </c>
      <c r="Q35" s="58"/>
      <c r="R35" s="64" t="s">
        <v>259</v>
      </c>
      <c r="S35" s="64" t="s">
        <v>260</v>
      </c>
      <c r="T35" s="64" t="s">
        <v>263</v>
      </c>
      <c r="U35" s="31" t="s">
        <v>261</v>
      </c>
      <c r="V35" s="65" t="s">
        <v>262</v>
      </c>
      <c r="X35" s="58"/>
      <c r="Y35" s="66" t="s">
        <v>259</v>
      </c>
      <c r="Z35" s="66" t="s">
        <v>260</v>
      </c>
      <c r="AA35" s="66" t="s">
        <v>263</v>
      </c>
      <c r="AB35" s="34" t="s">
        <v>261</v>
      </c>
      <c r="AC35" s="67" t="s">
        <v>262</v>
      </c>
      <c r="AF35" s="58"/>
      <c r="AG35" s="68" t="s">
        <v>259</v>
      </c>
      <c r="AH35" s="68" t="s">
        <v>260</v>
      </c>
      <c r="AI35" s="68" t="s">
        <v>263</v>
      </c>
      <c r="AJ35" s="37" t="s">
        <v>261</v>
      </c>
      <c r="AK35" s="69" t="s">
        <v>262</v>
      </c>
      <c r="AM35" s="58"/>
      <c r="AN35" s="70" t="s">
        <v>259</v>
      </c>
      <c r="AO35" s="70" t="s">
        <v>260</v>
      </c>
      <c r="AP35" s="70" t="s">
        <v>263</v>
      </c>
      <c r="AQ35" s="40" t="s">
        <v>261</v>
      </c>
      <c r="AR35" s="71" t="s">
        <v>262</v>
      </c>
      <c r="AT35" s="58"/>
      <c r="AU35" s="64" t="s">
        <v>259</v>
      </c>
      <c r="AV35" s="64" t="s">
        <v>260</v>
      </c>
      <c r="AW35" s="64" t="s">
        <v>263</v>
      </c>
      <c r="AX35" s="31" t="s">
        <v>261</v>
      </c>
      <c r="AY35" s="65" t="s">
        <v>262</v>
      </c>
      <c r="BA35" s="58"/>
      <c r="BB35" s="62" t="s">
        <v>259</v>
      </c>
      <c r="BC35" s="62" t="s">
        <v>260</v>
      </c>
      <c r="BD35" s="62" t="s">
        <v>263</v>
      </c>
      <c r="BE35" s="28" t="s">
        <v>261</v>
      </c>
      <c r="BF35" s="63" t="s">
        <v>262</v>
      </c>
      <c r="BH35" s="58"/>
      <c r="BI35" s="99" t="s">
        <v>259</v>
      </c>
      <c r="BJ35" s="99" t="s">
        <v>260</v>
      </c>
      <c r="BK35" s="99" t="s">
        <v>263</v>
      </c>
      <c r="BL35" s="42" t="s">
        <v>261</v>
      </c>
      <c r="BM35" s="100" t="s">
        <v>262</v>
      </c>
      <c r="BO35" s="58"/>
      <c r="BP35" s="64" t="s">
        <v>259</v>
      </c>
      <c r="BQ35" s="64" t="s">
        <v>260</v>
      </c>
      <c r="BR35" s="64" t="s">
        <v>263</v>
      </c>
      <c r="BS35" s="31" t="s">
        <v>261</v>
      </c>
      <c r="BT35" s="65" t="s">
        <v>262</v>
      </c>
      <c r="BV35" s="21"/>
      <c r="BW35" s="39" t="s">
        <v>259</v>
      </c>
      <c r="BX35" s="39" t="s">
        <v>260</v>
      </c>
      <c r="BY35" s="39" t="s">
        <v>263</v>
      </c>
      <c r="BZ35" s="40" t="s">
        <v>261</v>
      </c>
      <c r="CA35" s="41" t="s">
        <v>262</v>
      </c>
      <c r="CC35" s="58"/>
      <c r="CD35" s="59" t="s">
        <v>259</v>
      </c>
      <c r="CE35" s="59" t="s">
        <v>260</v>
      </c>
      <c r="CF35" s="59"/>
      <c r="CG35" s="59" t="s">
        <v>263</v>
      </c>
      <c r="CH35" s="19" t="s">
        <v>261</v>
      </c>
      <c r="CI35" s="60" t="s">
        <v>262</v>
      </c>
      <c r="CK35" s="58"/>
      <c r="CL35" s="59" t="s">
        <v>259</v>
      </c>
      <c r="CM35" s="59" t="s">
        <v>260</v>
      </c>
      <c r="CN35" s="59" t="s">
        <v>263</v>
      </c>
      <c r="CO35" s="19" t="s">
        <v>261</v>
      </c>
      <c r="CP35" s="60" t="s">
        <v>262</v>
      </c>
      <c r="CR35" s="58"/>
      <c r="CS35" s="59" t="s">
        <v>259</v>
      </c>
      <c r="CT35" s="59" t="s">
        <v>260</v>
      </c>
      <c r="CU35" s="59" t="s">
        <v>263</v>
      </c>
      <c r="CV35" s="19" t="s">
        <v>261</v>
      </c>
      <c r="CW35" s="60" t="s">
        <v>262</v>
      </c>
      <c r="CY35" s="58"/>
      <c r="CZ35" s="59" t="s">
        <v>259</v>
      </c>
      <c r="DA35" s="59" t="s">
        <v>260</v>
      </c>
      <c r="DB35" s="59" t="s">
        <v>263</v>
      </c>
      <c r="DC35" s="19" t="s">
        <v>261</v>
      </c>
      <c r="DD35" s="60" t="s">
        <v>262</v>
      </c>
    </row>
    <row r="36" spans="1:108" s="55" customFormat="1" x14ac:dyDescent="0.2">
      <c r="A36" s="58">
        <v>9</v>
      </c>
      <c r="B36" s="17">
        <v>-885.76454100000001</v>
      </c>
      <c r="C36" s="17"/>
      <c r="D36" s="17" t="s">
        <v>596</v>
      </c>
      <c r="E36" s="17">
        <f>1.455101/2</f>
        <v>0.72755049999999999</v>
      </c>
      <c r="F36" s="22">
        <f>B36+E36</f>
        <v>-885.0369905</v>
      </c>
      <c r="I36" s="58">
        <v>9</v>
      </c>
      <c r="J36" s="17">
        <v>-886.89529500000003</v>
      </c>
      <c r="K36" s="17"/>
      <c r="L36" s="17" t="s">
        <v>640</v>
      </c>
      <c r="M36" s="17">
        <f>1.447299/2</f>
        <v>0.72364949999999995</v>
      </c>
      <c r="N36" s="22">
        <f>J36+M36</f>
        <v>-886.17164550000007</v>
      </c>
      <c r="Q36" s="58">
        <v>9</v>
      </c>
      <c r="R36" s="17">
        <v>-893.44572300000004</v>
      </c>
      <c r="S36" s="17"/>
      <c r="T36" s="17" t="s">
        <v>828</v>
      </c>
      <c r="U36" s="17">
        <f>1.37441/2</f>
        <v>0.68720499999999995</v>
      </c>
      <c r="V36" s="22">
        <f>R36+U36</f>
        <v>-892.75851800000009</v>
      </c>
      <c r="X36" s="58">
        <v>9</v>
      </c>
      <c r="Y36" s="17">
        <v>-888.45349499999998</v>
      </c>
      <c r="Z36" s="17"/>
      <c r="AA36" s="17" t="s">
        <v>585</v>
      </c>
      <c r="AB36" s="17">
        <f>1.420601/2</f>
        <v>0.7103005</v>
      </c>
      <c r="AC36" s="22">
        <f>Y36+AB36</f>
        <v>-887.74319449999996</v>
      </c>
      <c r="AF36" s="58">
        <v>9</v>
      </c>
      <c r="AG36" s="139">
        <v>-891.14119300000004</v>
      </c>
      <c r="AH36" s="136"/>
      <c r="AI36" s="139" t="s">
        <v>857</v>
      </c>
      <c r="AJ36" s="136">
        <f>1.365199/2</f>
        <v>0.68259950000000003</v>
      </c>
      <c r="AK36" s="137">
        <f>AG36+AJ36</f>
        <v>-890.45859350000001</v>
      </c>
      <c r="AM36" s="58">
        <v>9</v>
      </c>
      <c r="AN36" s="17">
        <v>-889.058629</v>
      </c>
      <c r="AO36" s="17"/>
      <c r="AP36" s="17" t="s">
        <v>617</v>
      </c>
      <c r="AQ36" s="17">
        <f>1.42928/2</f>
        <v>0.71464000000000005</v>
      </c>
      <c r="AR36" s="22">
        <f>AN36+AQ36</f>
        <v>-888.34398899999997</v>
      </c>
      <c r="AT36" s="94"/>
      <c r="AU36" s="17">
        <v>-889.80181200000004</v>
      </c>
      <c r="AV36" s="17"/>
      <c r="AW36" s="17" t="s">
        <v>572</v>
      </c>
      <c r="AX36" s="17">
        <f>1.482316/2</f>
        <v>0.74115799999999998</v>
      </c>
      <c r="AY36" s="22">
        <f>AU36+AX36</f>
        <v>-889.060654</v>
      </c>
      <c r="BA36" s="82"/>
      <c r="BB36" s="17">
        <v>-891.68189400000006</v>
      </c>
      <c r="BC36" s="17"/>
      <c r="BD36" s="17" t="s">
        <v>608</v>
      </c>
      <c r="BE36" s="17">
        <f>1.415553/2</f>
        <v>0.70777650000000003</v>
      </c>
      <c r="BF36" s="22">
        <f>BB36+BE36</f>
        <v>-890.97411750000003</v>
      </c>
      <c r="BH36" s="135"/>
      <c r="BI36" s="17">
        <v>-882.38744999999994</v>
      </c>
      <c r="BJ36" s="17"/>
      <c r="BK36" s="17" t="s">
        <v>649</v>
      </c>
      <c r="BL36" s="17">
        <f>1.436994/2</f>
        <v>0.71849700000000005</v>
      </c>
      <c r="BM36" s="22">
        <f>BI36+BL36</f>
        <v>-881.66895299999999</v>
      </c>
      <c r="BO36" s="135">
        <v>9</v>
      </c>
      <c r="BP36" s="17">
        <v>-889.81816200000003</v>
      </c>
      <c r="BQ36" s="17"/>
      <c r="BR36" s="17" t="s">
        <v>552</v>
      </c>
      <c r="BS36" s="17">
        <f>1.594303/2</f>
        <v>0.79715150000000001</v>
      </c>
      <c r="BT36" s="22">
        <f>BP36+BS36</f>
        <v>-889.02101049999999</v>
      </c>
      <c r="BV36" s="58">
        <v>9</v>
      </c>
      <c r="BW36" s="17">
        <v>-891.41002300000002</v>
      </c>
      <c r="BX36" s="17"/>
      <c r="BY36" s="17" t="s">
        <v>657</v>
      </c>
      <c r="BZ36" s="17">
        <f>1.405446/2</f>
        <v>0.70272299999999999</v>
      </c>
      <c r="CA36" s="137">
        <f>BW36+BZ36</f>
        <v>-890.70730000000003</v>
      </c>
      <c r="CC36" s="135"/>
      <c r="CD36" s="17">
        <v>-892.94577200000003</v>
      </c>
      <c r="CE36" s="17"/>
      <c r="CG36" s="17" t="s">
        <v>667</v>
      </c>
      <c r="CH36" s="17">
        <f>1.417509/2</f>
        <v>0.70875449999999995</v>
      </c>
      <c r="CI36" s="137">
        <f>CH36+CD36</f>
        <v>-892.23701749999998</v>
      </c>
      <c r="CK36" s="135"/>
      <c r="CL36" s="136">
        <v>-887.44266700000003</v>
      </c>
      <c r="CM36" s="136"/>
      <c r="CN36" s="136" t="s">
        <v>622</v>
      </c>
      <c r="CO36" s="136">
        <v>0.76673100000000005</v>
      </c>
      <c r="CP36" s="137">
        <v>-886.67593599999998</v>
      </c>
      <c r="CR36" s="58">
        <v>6</v>
      </c>
      <c r="CS36" s="47">
        <v>-888.39687000000004</v>
      </c>
      <c r="CT36" s="47"/>
      <c r="CU36" s="47" t="s">
        <v>628</v>
      </c>
      <c r="CV36" s="47">
        <f>1.500372/2</f>
        <v>0.75018600000000002</v>
      </c>
      <c r="CW36" s="107">
        <f>CS36+CV36</f>
        <v>-887.64668400000005</v>
      </c>
      <c r="CY36" s="108"/>
      <c r="CZ36" s="17">
        <v>-988.05928600000004</v>
      </c>
      <c r="DA36" s="17"/>
      <c r="DB36" s="17" t="s">
        <v>717</v>
      </c>
      <c r="DC36" s="17">
        <f>9.380488/2</f>
        <v>4.6902439999999999</v>
      </c>
      <c r="DD36" s="22">
        <f>CZ36+DC36</f>
        <v>-983.36904200000004</v>
      </c>
    </row>
    <row r="37" spans="1:108" s="55" customFormat="1" x14ac:dyDescent="0.2">
      <c r="A37" s="58" t="s">
        <v>270</v>
      </c>
      <c r="B37" s="47"/>
      <c r="C37" s="47"/>
      <c r="D37" s="47"/>
      <c r="E37" s="47"/>
      <c r="F37" s="61">
        <f>F36+F60</f>
        <v>-986.07476150000002</v>
      </c>
      <c r="I37" s="58" t="s">
        <v>270</v>
      </c>
      <c r="J37" s="47"/>
      <c r="K37" s="47"/>
      <c r="L37" s="47"/>
      <c r="M37" s="47"/>
      <c r="N37" s="61">
        <f>N36+F60</f>
        <v>-987.20941650000009</v>
      </c>
      <c r="Q37" s="58" t="s">
        <v>270</v>
      </c>
      <c r="R37" s="47"/>
      <c r="S37" s="47"/>
      <c r="T37" s="47"/>
      <c r="U37" s="47"/>
      <c r="V37" s="61"/>
      <c r="X37" s="58" t="s">
        <v>270</v>
      </c>
      <c r="Y37" s="136"/>
      <c r="Z37" s="136"/>
      <c r="AA37" s="136"/>
      <c r="AB37" s="136"/>
      <c r="AC37" s="137"/>
      <c r="AF37" s="58" t="s">
        <v>270</v>
      </c>
      <c r="AG37" s="136"/>
      <c r="AH37" s="136"/>
      <c r="AI37" s="136"/>
      <c r="AJ37" s="136"/>
      <c r="AK37" s="137"/>
      <c r="AM37" s="58" t="s">
        <v>270</v>
      </c>
      <c r="AN37" s="136"/>
      <c r="AO37" s="136"/>
      <c r="AP37" s="136"/>
      <c r="AQ37" s="136"/>
      <c r="AR37" s="137"/>
      <c r="AT37" s="94"/>
      <c r="AU37" s="56"/>
      <c r="AV37" s="56"/>
      <c r="AW37" s="56"/>
      <c r="AX37" s="56"/>
      <c r="AY37" s="57"/>
      <c r="BA37" s="82"/>
      <c r="BB37" s="47"/>
      <c r="BC37" s="47"/>
      <c r="BD37" s="47"/>
      <c r="BE37" s="47"/>
      <c r="BF37" s="61"/>
      <c r="BH37" s="135"/>
      <c r="BI37" s="136"/>
      <c r="BJ37" s="136"/>
      <c r="BK37" s="136"/>
      <c r="BL37" s="136"/>
      <c r="BM37" s="137"/>
      <c r="BO37" s="135" t="s">
        <v>270</v>
      </c>
      <c r="BP37" s="136"/>
      <c r="BQ37" s="136"/>
      <c r="BR37" s="136"/>
      <c r="BS37" s="136"/>
      <c r="BT37" s="137"/>
      <c r="BV37" s="58" t="s">
        <v>270</v>
      </c>
      <c r="BW37" s="75"/>
      <c r="BX37" s="75"/>
      <c r="BY37" s="75"/>
      <c r="BZ37" s="75"/>
      <c r="CA37" s="76"/>
      <c r="CC37" s="135"/>
      <c r="CD37" s="136"/>
      <c r="CE37" s="136"/>
      <c r="CF37" s="136"/>
      <c r="CG37" s="136"/>
      <c r="CH37" s="136"/>
      <c r="CI37" s="137"/>
      <c r="CK37" s="135"/>
      <c r="CL37" s="136"/>
      <c r="CM37" s="136"/>
      <c r="CN37" s="136"/>
      <c r="CO37" s="136"/>
      <c r="CP37" s="137"/>
      <c r="CR37" s="58" t="s">
        <v>270</v>
      </c>
      <c r="CS37" s="47"/>
      <c r="CT37" s="47"/>
      <c r="CU37" s="47"/>
      <c r="CV37" s="47"/>
      <c r="CW37" s="107"/>
      <c r="CY37" s="108"/>
      <c r="CZ37" s="56"/>
      <c r="DA37" s="56"/>
      <c r="DB37" s="56"/>
      <c r="DC37" s="56"/>
      <c r="DD37" s="109"/>
    </row>
    <row r="38" spans="1:108" s="55" customFormat="1" x14ac:dyDescent="0.2">
      <c r="A38" s="58"/>
      <c r="B38" s="47"/>
      <c r="C38" s="47"/>
      <c r="D38" s="47"/>
      <c r="E38" s="47"/>
      <c r="F38" s="61"/>
      <c r="I38" s="58"/>
      <c r="J38" s="47"/>
      <c r="K38" s="47"/>
      <c r="L38" s="47"/>
      <c r="M38" s="47"/>
      <c r="N38" s="61"/>
      <c r="Q38" s="82"/>
      <c r="R38" s="47"/>
      <c r="S38" s="47"/>
      <c r="T38" s="47"/>
      <c r="U38" s="47"/>
      <c r="V38" s="61"/>
      <c r="X38" s="135"/>
      <c r="Y38" s="136"/>
      <c r="Z38" s="136"/>
      <c r="AA38" s="136"/>
      <c r="AB38" s="136"/>
      <c r="AC38" s="137"/>
      <c r="AF38" s="135"/>
      <c r="AG38" s="136"/>
      <c r="AH38" s="136"/>
      <c r="AI38" s="136"/>
      <c r="AJ38" s="136"/>
      <c r="AK38" s="137"/>
      <c r="AM38" s="135"/>
      <c r="AN38" s="136"/>
      <c r="AO38" s="136"/>
      <c r="AP38" s="136"/>
      <c r="AQ38" s="136"/>
      <c r="AR38" s="137"/>
      <c r="AT38" s="135"/>
      <c r="AU38" s="136"/>
      <c r="AV38" s="136"/>
      <c r="AW38" s="136"/>
      <c r="AX38" s="136"/>
      <c r="AY38" s="137"/>
      <c r="BA38" s="135"/>
      <c r="BB38" s="136"/>
      <c r="BC38" s="136"/>
      <c r="BD38" s="136"/>
      <c r="BE38" s="136"/>
      <c r="BF38" s="137"/>
      <c r="BH38" s="135"/>
      <c r="BI38" s="136"/>
      <c r="BJ38" s="136"/>
      <c r="BK38" s="136"/>
      <c r="BL38" s="136"/>
      <c r="BM38" s="137"/>
      <c r="BO38" s="135"/>
      <c r="BP38" s="136"/>
      <c r="BQ38" s="136"/>
      <c r="BR38" s="136"/>
      <c r="BS38" s="136"/>
      <c r="BT38" s="137"/>
      <c r="BV38" s="74"/>
      <c r="BW38" s="75"/>
      <c r="BX38" s="75"/>
      <c r="BY38" s="75"/>
      <c r="BZ38" s="75"/>
      <c r="CA38" s="76"/>
      <c r="CC38" s="135"/>
      <c r="CD38" s="136"/>
      <c r="CE38" s="136"/>
      <c r="CF38" s="136"/>
      <c r="CG38" s="136"/>
      <c r="CH38" s="136"/>
      <c r="CI38" s="137"/>
      <c r="CK38" s="135"/>
      <c r="CL38" s="136"/>
      <c r="CM38" s="136"/>
      <c r="CN38" s="136"/>
      <c r="CO38" s="136"/>
      <c r="CP38" s="137"/>
      <c r="CR38" s="135"/>
      <c r="CS38" s="136"/>
      <c r="CT38" s="136"/>
      <c r="CU38" s="136"/>
      <c r="CV38" s="136"/>
      <c r="CW38" s="137"/>
      <c r="CY38" s="135"/>
      <c r="CZ38" s="136"/>
      <c r="DA38" s="136"/>
      <c r="DB38" s="136"/>
      <c r="DC38" s="136"/>
      <c r="DD38" s="137"/>
    </row>
    <row r="39" spans="1:108" s="55" customFormat="1" x14ac:dyDescent="0.2">
      <c r="A39" s="148" t="s">
        <v>288</v>
      </c>
      <c r="B39" s="149"/>
      <c r="C39" s="149"/>
      <c r="D39" s="149"/>
      <c r="E39" s="149"/>
      <c r="F39" s="150"/>
      <c r="I39" s="148" t="s">
        <v>288</v>
      </c>
      <c r="J39" s="149"/>
      <c r="K39" s="149"/>
      <c r="L39" s="149"/>
      <c r="M39" s="149"/>
      <c r="N39" s="150"/>
      <c r="Q39" s="148" t="s">
        <v>491</v>
      </c>
      <c r="R39" s="149"/>
      <c r="S39" s="149"/>
      <c r="T39" s="149"/>
      <c r="U39" s="149"/>
      <c r="V39" s="150"/>
      <c r="X39" s="148" t="s">
        <v>288</v>
      </c>
      <c r="Y39" s="149"/>
      <c r="Z39" s="149"/>
      <c r="AA39" s="149"/>
      <c r="AB39" s="149"/>
      <c r="AC39" s="150"/>
      <c r="AF39" s="148" t="s">
        <v>288</v>
      </c>
      <c r="AG39" s="149"/>
      <c r="AH39" s="149"/>
      <c r="AI39" s="149"/>
      <c r="AJ39" s="149"/>
      <c r="AK39" s="150"/>
      <c r="AM39" s="148" t="s">
        <v>288</v>
      </c>
      <c r="AN39" s="149"/>
      <c r="AO39" s="149"/>
      <c r="AP39" s="149"/>
      <c r="AQ39" s="149"/>
      <c r="AR39" s="150"/>
      <c r="AT39" s="148" t="s">
        <v>288</v>
      </c>
      <c r="AU39" s="149"/>
      <c r="AV39" s="149"/>
      <c r="AW39" s="149"/>
      <c r="AX39" s="149"/>
      <c r="AY39" s="150"/>
      <c r="BA39" s="148" t="s">
        <v>288</v>
      </c>
      <c r="BB39" s="149"/>
      <c r="BC39" s="149"/>
      <c r="BD39" s="149"/>
      <c r="BE39" s="149"/>
      <c r="BF39" s="150"/>
      <c r="BH39" s="148" t="s">
        <v>288</v>
      </c>
      <c r="BI39" s="149"/>
      <c r="BJ39" s="149"/>
      <c r="BK39" s="149"/>
      <c r="BL39" s="149"/>
      <c r="BM39" s="150"/>
      <c r="BO39" s="148" t="s">
        <v>288</v>
      </c>
      <c r="BP39" s="149"/>
      <c r="BQ39" s="149"/>
      <c r="BR39" s="149"/>
      <c r="BS39" s="149"/>
      <c r="BT39" s="150"/>
      <c r="BV39" s="148" t="s">
        <v>288</v>
      </c>
      <c r="BW39" s="149"/>
      <c r="BX39" s="149"/>
      <c r="BY39" s="149"/>
      <c r="BZ39" s="149"/>
      <c r="CA39" s="150"/>
      <c r="CC39" s="148" t="s">
        <v>288</v>
      </c>
      <c r="CD39" s="149"/>
      <c r="CE39" s="149"/>
      <c r="CF39" s="149"/>
      <c r="CG39" s="149"/>
      <c r="CH39" s="149"/>
      <c r="CI39" s="150"/>
      <c r="CK39" s="148" t="s">
        <v>288</v>
      </c>
      <c r="CL39" s="149"/>
      <c r="CM39" s="149"/>
      <c r="CN39" s="149"/>
      <c r="CO39" s="149"/>
      <c r="CP39" s="150"/>
      <c r="CR39" s="148" t="s">
        <v>288</v>
      </c>
      <c r="CS39" s="149"/>
      <c r="CT39" s="149"/>
      <c r="CU39" s="149"/>
      <c r="CV39" s="149"/>
      <c r="CW39" s="150"/>
      <c r="CY39" s="148" t="s">
        <v>491</v>
      </c>
      <c r="CZ39" s="149"/>
      <c r="DA39" s="149"/>
      <c r="DB39" s="149"/>
      <c r="DC39" s="149"/>
      <c r="DD39" s="150"/>
    </row>
    <row r="40" spans="1:108" s="55" customFormat="1" ht="15" x14ac:dyDescent="0.25">
      <c r="A40" s="58"/>
      <c r="B40" s="59" t="s">
        <v>259</v>
      </c>
      <c r="C40" s="59" t="s">
        <v>260</v>
      </c>
      <c r="D40" s="59" t="s">
        <v>263</v>
      </c>
      <c r="E40" s="19" t="s">
        <v>261</v>
      </c>
      <c r="F40" s="60" t="s">
        <v>262</v>
      </c>
      <c r="I40" s="58"/>
      <c r="J40" s="62" t="s">
        <v>259</v>
      </c>
      <c r="K40" s="62" t="s">
        <v>260</v>
      </c>
      <c r="L40" s="62" t="s">
        <v>263</v>
      </c>
      <c r="M40" s="28" t="s">
        <v>261</v>
      </c>
      <c r="N40" s="63" t="s">
        <v>262</v>
      </c>
      <c r="Q40" s="58"/>
      <c r="R40" s="64" t="s">
        <v>259</v>
      </c>
      <c r="S40" s="64" t="s">
        <v>260</v>
      </c>
      <c r="T40" s="64" t="s">
        <v>263</v>
      </c>
      <c r="U40" s="31" t="s">
        <v>261</v>
      </c>
      <c r="V40" s="65" t="s">
        <v>262</v>
      </c>
      <c r="X40" s="58"/>
      <c r="Y40" s="66" t="s">
        <v>259</v>
      </c>
      <c r="Z40" s="66" t="s">
        <v>260</v>
      </c>
      <c r="AA40" s="66" t="s">
        <v>263</v>
      </c>
      <c r="AB40" s="34" t="s">
        <v>261</v>
      </c>
      <c r="AC40" s="67" t="s">
        <v>262</v>
      </c>
      <c r="AF40" s="58"/>
      <c r="AG40" s="68" t="s">
        <v>259</v>
      </c>
      <c r="AH40" s="68" t="s">
        <v>260</v>
      </c>
      <c r="AI40" s="68" t="s">
        <v>263</v>
      </c>
      <c r="AJ40" s="37" t="s">
        <v>261</v>
      </c>
      <c r="AK40" s="69" t="s">
        <v>262</v>
      </c>
      <c r="AM40" s="58"/>
      <c r="AN40" s="70" t="s">
        <v>259</v>
      </c>
      <c r="AO40" s="70" t="s">
        <v>260</v>
      </c>
      <c r="AP40" s="70" t="s">
        <v>263</v>
      </c>
      <c r="AQ40" s="40" t="s">
        <v>261</v>
      </c>
      <c r="AR40" s="71" t="s">
        <v>262</v>
      </c>
      <c r="AT40" s="58"/>
      <c r="AU40" s="64" t="s">
        <v>259</v>
      </c>
      <c r="AV40" s="64" t="s">
        <v>260</v>
      </c>
      <c r="AW40" s="64" t="s">
        <v>263</v>
      </c>
      <c r="AX40" s="31" t="s">
        <v>261</v>
      </c>
      <c r="AY40" s="65" t="s">
        <v>262</v>
      </c>
      <c r="BA40" s="58"/>
      <c r="BB40" s="62" t="s">
        <v>259</v>
      </c>
      <c r="BC40" s="62" t="s">
        <v>260</v>
      </c>
      <c r="BD40" s="62" t="s">
        <v>263</v>
      </c>
      <c r="BE40" s="28" t="s">
        <v>261</v>
      </c>
      <c r="BF40" s="63" t="s">
        <v>262</v>
      </c>
      <c r="BH40" s="58"/>
      <c r="BI40" s="99" t="s">
        <v>259</v>
      </c>
      <c r="BJ40" s="99" t="s">
        <v>260</v>
      </c>
      <c r="BK40" s="99" t="s">
        <v>263</v>
      </c>
      <c r="BL40" s="42" t="s">
        <v>261</v>
      </c>
      <c r="BM40" s="100" t="s">
        <v>262</v>
      </c>
      <c r="BO40" s="58"/>
      <c r="BP40" s="64" t="s">
        <v>259</v>
      </c>
      <c r="BQ40" s="64" t="s">
        <v>260</v>
      </c>
      <c r="BR40" s="64" t="s">
        <v>263</v>
      </c>
      <c r="BS40" s="31" t="s">
        <v>261</v>
      </c>
      <c r="BT40" s="65" t="s">
        <v>262</v>
      </c>
      <c r="BV40" s="21"/>
      <c r="BW40" s="39" t="s">
        <v>259</v>
      </c>
      <c r="BX40" s="39" t="s">
        <v>260</v>
      </c>
      <c r="BY40" s="39" t="s">
        <v>263</v>
      </c>
      <c r="BZ40" s="40" t="s">
        <v>261</v>
      </c>
      <c r="CA40" s="41" t="s">
        <v>262</v>
      </c>
      <c r="CC40" s="58"/>
      <c r="CD40" s="59" t="s">
        <v>259</v>
      </c>
      <c r="CE40" s="59" t="s">
        <v>260</v>
      </c>
      <c r="CF40" s="59"/>
      <c r="CG40" s="59" t="s">
        <v>263</v>
      </c>
      <c r="CH40" s="19" t="s">
        <v>261</v>
      </c>
      <c r="CI40" s="60" t="s">
        <v>262</v>
      </c>
      <c r="CK40" s="58"/>
      <c r="CL40" s="59" t="s">
        <v>259</v>
      </c>
      <c r="CM40" s="59" t="s">
        <v>260</v>
      </c>
      <c r="CN40" s="59" t="s">
        <v>263</v>
      </c>
      <c r="CO40" s="19" t="s">
        <v>261</v>
      </c>
      <c r="CP40" s="60" t="s">
        <v>262</v>
      </c>
      <c r="CR40" s="58"/>
      <c r="CS40" s="59" t="s">
        <v>259</v>
      </c>
      <c r="CT40" s="59" t="s">
        <v>260</v>
      </c>
      <c r="CU40" s="59" t="s">
        <v>263</v>
      </c>
      <c r="CV40" s="19" t="s">
        <v>261</v>
      </c>
      <c r="CW40" s="60" t="s">
        <v>262</v>
      </c>
      <c r="CY40" s="58"/>
      <c r="CZ40" s="59" t="s">
        <v>259</v>
      </c>
      <c r="DA40" s="59" t="s">
        <v>260</v>
      </c>
      <c r="DB40" s="59" t="s">
        <v>263</v>
      </c>
      <c r="DC40" s="19" t="s">
        <v>261</v>
      </c>
      <c r="DD40" s="60" t="s">
        <v>262</v>
      </c>
    </row>
    <row r="41" spans="1:108" s="55" customFormat="1" x14ac:dyDescent="0.2">
      <c r="A41" s="58">
        <v>10</v>
      </c>
      <c r="B41" s="47">
        <v>-871.12836100000004</v>
      </c>
      <c r="C41" s="47">
        <v>333.15</v>
      </c>
      <c r="D41" s="47" t="s">
        <v>291</v>
      </c>
      <c r="E41" s="47">
        <v>0.16780600000000001</v>
      </c>
      <c r="F41" s="61">
        <f>B41+E41</f>
        <v>-870.960555</v>
      </c>
      <c r="I41" s="58">
        <v>10</v>
      </c>
      <c r="J41" s="47">
        <v>-872.09403899999995</v>
      </c>
      <c r="K41" s="47">
        <v>333.15</v>
      </c>
      <c r="L41" s="47" t="s">
        <v>431</v>
      </c>
      <c r="M41" s="47">
        <v>0.17644499999999999</v>
      </c>
      <c r="N41" s="61">
        <f>J41+M41</f>
        <v>-871.91759400000001</v>
      </c>
      <c r="Q41" s="58">
        <v>10</v>
      </c>
      <c r="R41" s="47">
        <v>-878.573937</v>
      </c>
      <c r="S41" s="47">
        <v>333.15</v>
      </c>
      <c r="T41" s="47" t="s">
        <v>729</v>
      </c>
      <c r="U41" s="47">
        <v>0.13562299999999999</v>
      </c>
      <c r="V41" s="61">
        <f>R41+U41</f>
        <v>-878.43831399999999</v>
      </c>
      <c r="X41" s="58">
        <v>10</v>
      </c>
      <c r="Y41" s="47">
        <v>-873.49611500000003</v>
      </c>
      <c r="Z41" s="47">
        <v>333.15</v>
      </c>
      <c r="AA41" s="47" t="s">
        <v>316</v>
      </c>
      <c r="AB41" s="47">
        <v>0.114622</v>
      </c>
      <c r="AC41" s="61">
        <f>Y41+AB41</f>
        <v>-873.38149299999998</v>
      </c>
      <c r="AF41" s="58">
        <v>10</v>
      </c>
      <c r="AG41" s="47">
        <v>-876.10025700000006</v>
      </c>
      <c r="AH41" s="47">
        <v>333.15</v>
      </c>
      <c r="AI41" s="47" t="s">
        <v>323</v>
      </c>
      <c r="AJ41" s="47">
        <v>0.15540699999999999</v>
      </c>
      <c r="AK41" s="61">
        <f>AG41+AJ41</f>
        <v>-875.94485000000009</v>
      </c>
      <c r="AM41" s="58">
        <v>10</v>
      </c>
      <c r="AN41" s="47">
        <v>-873.99494600000003</v>
      </c>
      <c r="AO41" s="47">
        <v>333.15</v>
      </c>
      <c r="AP41" s="47" t="s">
        <v>476</v>
      </c>
      <c r="AQ41" s="47">
        <v>0.13425899999999999</v>
      </c>
      <c r="AR41" s="61">
        <f>AN41+AQ41</f>
        <v>-873.86068699999998</v>
      </c>
      <c r="AT41" s="58">
        <v>7</v>
      </c>
      <c r="AU41" s="47">
        <v>-875.08093199999996</v>
      </c>
      <c r="AV41" s="47">
        <v>333.15</v>
      </c>
      <c r="AW41" s="47" t="s">
        <v>334</v>
      </c>
      <c r="AX41" s="47">
        <v>0.180592</v>
      </c>
      <c r="AY41" s="61">
        <f>AU41+AX41</f>
        <v>-874.90033999999991</v>
      </c>
      <c r="BA41" s="58">
        <v>7</v>
      </c>
      <c r="BB41" s="47">
        <v>-876.80730000000005</v>
      </c>
      <c r="BC41" s="47">
        <v>333.15</v>
      </c>
      <c r="BD41" s="47" t="s">
        <v>339</v>
      </c>
      <c r="BE41" s="47">
        <v>0.15918299999999999</v>
      </c>
      <c r="BF41" s="61">
        <f>BB41+BE41</f>
        <v>-876.64811700000007</v>
      </c>
      <c r="BH41" s="58">
        <v>7</v>
      </c>
      <c r="BI41" s="47">
        <v>-867.78157599999997</v>
      </c>
      <c r="BJ41" s="47">
        <v>333.15</v>
      </c>
      <c r="BK41" s="47" t="s">
        <v>439</v>
      </c>
      <c r="BL41" s="47">
        <v>0.142565</v>
      </c>
      <c r="BM41" s="61">
        <f>BI41+BL41</f>
        <v>-867.63901099999998</v>
      </c>
      <c r="BO41" s="58">
        <v>7</v>
      </c>
      <c r="BP41" s="47">
        <v>-874.85681199999999</v>
      </c>
      <c r="BQ41" s="47">
        <v>333.15</v>
      </c>
      <c r="BR41" s="47" t="s">
        <v>412</v>
      </c>
      <c r="BS41" s="47">
        <v>0.22609499999999999</v>
      </c>
      <c r="BT41" s="61">
        <f>BP41+BS41</f>
        <v>-874.630717</v>
      </c>
      <c r="BV41" s="21">
        <v>10</v>
      </c>
      <c r="BW41" s="17">
        <v>-876.36238600000001</v>
      </c>
      <c r="BX41" s="17">
        <v>333.15</v>
      </c>
      <c r="BY41" s="17" t="s">
        <v>418</v>
      </c>
      <c r="BZ41" s="17">
        <v>0.122408</v>
      </c>
      <c r="CA41" s="22">
        <f>BW41+BZ41</f>
        <v>-876.23997800000006</v>
      </c>
      <c r="CC41" s="58">
        <v>7</v>
      </c>
      <c r="CD41" s="47">
        <v>-877.83182299999999</v>
      </c>
      <c r="CE41" s="47">
        <v>333.15</v>
      </c>
      <c r="CF41" s="47"/>
      <c r="CG41" s="47" t="s">
        <v>428</v>
      </c>
      <c r="CH41" s="47">
        <v>0.12864700000000001</v>
      </c>
      <c r="CI41" s="61">
        <f>CD41+CH41</f>
        <v>-877.70317599999998</v>
      </c>
      <c r="CK41" s="58">
        <v>7</v>
      </c>
      <c r="CL41" s="47">
        <v>-872.48794099999998</v>
      </c>
      <c r="CM41" s="47">
        <v>333.15</v>
      </c>
      <c r="CN41" s="47" t="s">
        <v>459</v>
      </c>
      <c r="CO41" s="47">
        <v>0.21410100000000001</v>
      </c>
      <c r="CP41" s="61">
        <f>CL41+CO41</f>
        <v>-872.27383999999995</v>
      </c>
      <c r="CR41" s="58">
        <v>7</v>
      </c>
      <c r="CS41" s="47">
        <v>-873.861942</v>
      </c>
      <c r="CT41" s="47">
        <v>333.15</v>
      </c>
      <c r="CU41" s="47" t="s">
        <v>472</v>
      </c>
      <c r="CV41" s="47">
        <v>0.231075</v>
      </c>
      <c r="CW41" s="61">
        <f>CS41+CV41</f>
        <v>-873.63086699999997</v>
      </c>
      <c r="CY41" s="58">
        <v>7</v>
      </c>
      <c r="CZ41" s="47">
        <v>-863.31769499999996</v>
      </c>
      <c r="DA41" s="47">
        <v>333.15</v>
      </c>
      <c r="DB41" s="47" t="s">
        <v>470</v>
      </c>
      <c r="DC41" s="47">
        <v>0.18034800000000001</v>
      </c>
      <c r="DD41" s="61">
        <f>CZ41+DC41</f>
        <v>-863.13734699999998</v>
      </c>
    </row>
    <row r="42" spans="1:108" ht="15" thickBot="1" x14ac:dyDescent="0.25">
      <c r="A42" s="78" t="s">
        <v>270</v>
      </c>
      <c r="B42" s="79"/>
      <c r="C42" s="79">
        <v>333.15</v>
      </c>
      <c r="D42" s="79"/>
      <c r="E42" s="79"/>
      <c r="F42" s="83">
        <f>F41+F60+F59</f>
        <v>-986.20278300000007</v>
      </c>
      <c r="I42" s="78" t="s">
        <v>270</v>
      </c>
      <c r="J42" s="79"/>
      <c r="K42" s="79">
        <v>333.15</v>
      </c>
      <c r="L42" s="79"/>
      <c r="M42" s="79"/>
      <c r="N42" s="83">
        <f>N41+F59+F60</f>
        <v>-987.15982200000008</v>
      </c>
      <c r="Q42" s="78" t="s">
        <v>270</v>
      </c>
      <c r="R42" s="79"/>
      <c r="S42" s="79">
        <v>333.15</v>
      </c>
      <c r="T42" s="79"/>
      <c r="U42" s="79"/>
      <c r="V42" s="83">
        <f>V41+F59+F60</f>
        <v>-993.68054200000006</v>
      </c>
      <c r="X42" s="78" t="s">
        <v>270</v>
      </c>
      <c r="Y42" s="79"/>
      <c r="Z42" s="79">
        <v>333.15</v>
      </c>
      <c r="AA42" s="79"/>
      <c r="AB42" s="79"/>
      <c r="AC42" s="83">
        <f>AC41+F59+F60</f>
        <v>-988.62372100000005</v>
      </c>
      <c r="AF42" s="78" t="s">
        <v>270</v>
      </c>
      <c r="AG42" s="79"/>
      <c r="AH42" s="79">
        <v>333.15</v>
      </c>
      <c r="AI42" s="79"/>
      <c r="AJ42" s="79"/>
      <c r="AK42" s="83">
        <f>AK41+F59+F60</f>
        <v>-991.18707800000016</v>
      </c>
      <c r="AM42" s="78" t="s">
        <v>270</v>
      </c>
      <c r="AN42" s="79"/>
      <c r="AO42" s="79">
        <v>333.15</v>
      </c>
      <c r="AP42" s="79"/>
      <c r="AQ42" s="79"/>
      <c r="AR42" s="83">
        <f>AR41+F59+F60</f>
        <v>-989.10291500000005</v>
      </c>
      <c r="AT42" s="78" t="s">
        <v>270</v>
      </c>
      <c r="AU42" s="79"/>
      <c r="AV42" s="79">
        <v>333.15</v>
      </c>
      <c r="AW42" s="79"/>
      <c r="AX42" s="79"/>
      <c r="AY42" s="83">
        <f>AY41+F59+F60</f>
        <v>-990.14256799999998</v>
      </c>
      <c r="BA42" s="78" t="s">
        <v>270</v>
      </c>
      <c r="BB42" s="79"/>
      <c r="BC42" s="79">
        <v>333.15</v>
      </c>
      <c r="BD42" s="79"/>
      <c r="BE42" s="79"/>
      <c r="BF42" s="83">
        <f>BF41+F59+F60</f>
        <v>-991.89034500000014</v>
      </c>
      <c r="BH42" s="78" t="s">
        <v>270</v>
      </c>
      <c r="BI42" s="79"/>
      <c r="BJ42" s="79">
        <v>333.15</v>
      </c>
      <c r="BK42" s="79"/>
      <c r="BL42" s="79"/>
      <c r="BM42" s="83">
        <f>BM41+F59+F60</f>
        <v>-982.88123900000005</v>
      </c>
      <c r="BO42" s="78" t="s">
        <v>270</v>
      </c>
      <c r="BP42" s="79"/>
      <c r="BQ42" s="79">
        <v>333.15</v>
      </c>
      <c r="BR42" s="79"/>
      <c r="BS42" s="79"/>
      <c r="BT42" s="83">
        <f>BT41+F59+F60</f>
        <v>-989.87294500000007</v>
      </c>
      <c r="BV42" s="23" t="s">
        <v>270</v>
      </c>
      <c r="BW42" s="24"/>
      <c r="BX42" s="24">
        <v>333.15</v>
      </c>
      <c r="BY42" s="24"/>
      <c r="BZ42" s="24"/>
      <c r="CA42" s="98">
        <f>CA41+F59+F60</f>
        <v>-991.48220600000013</v>
      </c>
      <c r="CC42" s="78" t="s">
        <v>270</v>
      </c>
      <c r="CD42" s="79"/>
      <c r="CE42" s="79">
        <v>333.15</v>
      </c>
      <c r="CF42" s="79"/>
      <c r="CG42" s="79"/>
      <c r="CH42" s="79"/>
      <c r="CI42" s="83">
        <f>CI41+F59+F60</f>
        <v>-992.94540400000005</v>
      </c>
      <c r="CK42" s="78" t="s">
        <v>270</v>
      </c>
      <c r="CL42" s="79"/>
      <c r="CM42" s="79">
        <v>333.15</v>
      </c>
      <c r="CN42" s="79"/>
      <c r="CO42" s="79"/>
      <c r="CP42" s="83">
        <f>CP41+F52+F53</f>
        <v>-872.27383999999995</v>
      </c>
      <c r="CR42" s="78" t="s">
        <v>270</v>
      </c>
      <c r="CS42" s="79"/>
      <c r="CT42" s="79">
        <v>333.15</v>
      </c>
      <c r="CU42" s="79"/>
      <c r="CV42" s="79"/>
      <c r="CW42" s="83">
        <f>CW41+F59+F60</f>
        <v>-988.87309500000003</v>
      </c>
      <c r="CY42" s="78" t="s">
        <v>270</v>
      </c>
      <c r="CZ42" s="79"/>
      <c r="DA42" s="79">
        <v>333.15</v>
      </c>
      <c r="DB42" s="79"/>
      <c r="DC42" s="79"/>
      <c r="DD42" s="83">
        <f>DD41+F59+F60</f>
        <v>-978.37957500000005</v>
      </c>
    </row>
    <row r="47" spans="1:108" x14ac:dyDescent="0.2">
      <c r="W47" s="33"/>
    </row>
    <row r="49" spans="1:6" x14ac:dyDescent="0.2">
      <c r="A49"/>
      <c r="C49" t="s">
        <v>745</v>
      </c>
    </row>
    <row r="50" spans="1:6" x14ac:dyDescent="0.2">
      <c r="A50" t="s">
        <v>746</v>
      </c>
      <c r="B50">
        <v>-2003.7186380000001</v>
      </c>
      <c r="C50" s="110"/>
    </row>
    <row r="51" spans="1:6" x14ac:dyDescent="0.2">
      <c r="A51" t="s">
        <v>747</v>
      </c>
      <c r="B51">
        <v>-8.7449650000000005</v>
      </c>
      <c r="C51" s="110"/>
    </row>
    <row r="52" spans="1:6" x14ac:dyDescent="0.2">
      <c r="A52" t="s">
        <v>754</v>
      </c>
      <c r="B52">
        <v>-6.7584960000000001</v>
      </c>
      <c r="C52" s="110">
        <f>0.354794/2</f>
        <v>0.177397</v>
      </c>
      <c r="D52" s="110">
        <f>B52+C52</f>
        <v>-6.581099</v>
      </c>
    </row>
    <row r="56" spans="1:6" x14ac:dyDescent="0.2">
      <c r="A56" s="21" t="s">
        <v>267</v>
      </c>
      <c r="B56" s="18" t="s">
        <v>259</v>
      </c>
      <c r="C56" s="18" t="s">
        <v>260</v>
      </c>
      <c r="D56" s="18" t="s">
        <v>263</v>
      </c>
      <c r="E56" s="25" t="s">
        <v>686</v>
      </c>
      <c r="F56" s="20" t="s">
        <v>262</v>
      </c>
    </row>
    <row r="57" spans="1:6" ht="15.75" customHeight="1" x14ac:dyDescent="0.2">
      <c r="A57" s="21" t="s">
        <v>269</v>
      </c>
      <c r="B57" s="17">
        <f>测试!$H$17</f>
        <v>-18.146322000000001</v>
      </c>
      <c r="C57" s="17">
        <v>333.15</v>
      </c>
      <c r="D57" t="s">
        <v>272</v>
      </c>
      <c r="E57">
        <v>2.4230999999999999E-2</v>
      </c>
      <c r="F57">
        <f>B57+E57</f>
        <v>-18.122091000000001</v>
      </c>
    </row>
    <row r="58" spans="1:6" x14ac:dyDescent="0.2">
      <c r="A58" s="138" t="s">
        <v>289</v>
      </c>
      <c r="B58">
        <f>测试!$H$16</f>
        <v>-98.384722999999994</v>
      </c>
      <c r="C58" s="17">
        <v>333.15</v>
      </c>
      <c r="D58" s="17" t="s">
        <v>271</v>
      </c>
      <c r="E58" s="22">
        <v>3.3534999999999999</v>
      </c>
      <c r="F58">
        <f>B58+E58</f>
        <v>-95.031222999999997</v>
      </c>
    </row>
    <row r="59" spans="1:6" x14ac:dyDescent="0.2">
      <c r="A59" s="138" t="s">
        <v>268</v>
      </c>
      <c r="B59">
        <f>测试!H19</f>
        <v>-14.220005</v>
      </c>
      <c r="C59" s="17">
        <v>333.15</v>
      </c>
      <c r="D59" t="s">
        <v>274</v>
      </c>
      <c r="E59">
        <v>1.5547999999999999E-2</v>
      </c>
      <c r="F59">
        <f>B59+E59</f>
        <v>-14.204457</v>
      </c>
    </row>
    <row r="60" spans="1:6" x14ac:dyDescent="0.2">
      <c r="A60" s="138" t="s">
        <v>290</v>
      </c>
      <c r="B60">
        <f>测试!H18</f>
        <v>-104.474317</v>
      </c>
      <c r="C60" s="17">
        <v>333.15</v>
      </c>
      <c r="D60" t="s">
        <v>273</v>
      </c>
      <c r="E60">
        <v>3.4365459999999999</v>
      </c>
      <c r="F60">
        <f>B60+E60</f>
        <v>-101.03777099999999</v>
      </c>
    </row>
    <row r="61" spans="1:6" x14ac:dyDescent="0.2">
      <c r="A61" s="138" t="s">
        <v>744</v>
      </c>
      <c r="B61">
        <v>-13.253377</v>
      </c>
      <c r="C61" s="17">
        <v>333.15</v>
      </c>
      <c r="D61" t="s">
        <v>755</v>
      </c>
      <c r="E61">
        <f>0.482492/2</f>
        <v>0.24124599999999999</v>
      </c>
      <c r="F61" s="110">
        <f>B61+E61</f>
        <v>-13.012131</v>
      </c>
    </row>
    <row r="65" spans="1:22" ht="15" thickBot="1" x14ac:dyDescent="0.25"/>
    <row r="66" spans="1:22" ht="44.25" thickTop="1" thickBot="1" x14ac:dyDescent="0.25">
      <c r="A66" s="73" t="s">
        <v>687</v>
      </c>
      <c r="B66" s="120" t="s">
        <v>688</v>
      </c>
      <c r="C66" s="120" t="s">
        <v>689</v>
      </c>
      <c r="E66" s="115"/>
      <c r="L66" s="119" t="s">
        <v>757</v>
      </c>
      <c r="M66" s="114" t="s">
        <v>763</v>
      </c>
      <c r="N66" s="118" t="s">
        <v>776</v>
      </c>
      <c r="O66" s="114" t="s">
        <v>764</v>
      </c>
      <c r="P66" s="118" t="s">
        <v>777</v>
      </c>
      <c r="Q66" s="114" t="s">
        <v>765</v>
      </c>
      <c r="R66" s="118" t="s">
        <v>778</v>
      </c>
      <c r="S66" s="114" t="s">
        <v>766</v>
      </c>
      <c r="T66" s="112" t="s">
        <v>762</v>
      </c>
      <c r="U66" s="112" t="s">
        <v>888</v>
      </c>
      <c r="V66" s="112" t="s">
        <v>887</v>
      </c>
    </row>
    <row r="67" spans="1:22" ht="30" customHeight="1" thickTop="1" x14ac:dyDescent="0.2">
      <c r="A67" s="138" t="s">
        <v>264</v>
      </c>
      <c r="B67" s="110">
        <f>F8-吉布斯自由能汇总!F61-catmap数据集!G8</f>
        <v>-1.2600215000001072</v>
      </c>
      <c r="C67">
        <f>F12-F9</f>
        <v>-1.2503520000000208</v>
      </c>
      <c r="L67">
        <v>-0.1057</v>
      </c>
      <c r="M67">
        <v>9.7998399999999997</v>
      </c>
      <c r="N67">
        <f t="shared" ref="N67:N81" si="0">-(12-M67)</f>
        <v>-2.2001600000000003</v>
      </c>
      <c r="O67">
        <v>6.4006030000000003</v>
      </c>
      <c r="P67">
        <f>-(8-O67)</f>
        <v>-1.5993969999999997</v>
      </c>
      <c r="Q67">
        <v>6.4079050000000004</v>
      </c>
      <c r="R67">
        <f t="shared" ref="R67:R81" si="1">Q67-6</f>
        <v>0.40790500000000041</v>
      </c>
      <c r="S67">
        <v>6.4929079999999999</v>
      </c>
      <c r="T67">
        <v>-5.3018999999999998</v>
      </c>
      <c r="U67">
        <v>-1.169</v>
      </c>
      <c r="V67">
        <v>-0.63519000000000003</v>
      </c>
    </row>
    <row r="68" spans="1:22" ht="30" customHeight="1" x14ac:dyDescent="0.2">
      <c r="A68" s="138" t="s">
        <v>690</v>
      </c>
      <c r="B68" s="110">
        <f>N8-F61-catmap数据集!O8</f>
        <v>-2.01846850000004</v>
      </c>
      <c r="C68">
        <f>N12-N9</f>
        <v>6.7551999999977852E-2</v>
      </c>
      <c r="E68" t="s">
        <v>758</v>
      </c>
      <c r="L68">
        <v>0.49940000000000001</v>
      </c>
      <c r="M68">
        <v>9.8082980000000006</v>
      </c>
      <c r="N68">
        <f t="shared" si="0"/>
        <v>-2.1917019999999994</v>
      </c>
      <c r="O68">
        <v>11.249608</v>
      </c>
      <c r="P68">
        <f>-(13-O68)</f>
        <v>-1.7503919999999997</v>
      </c>
      <c r="Q68">
        <v>6.5256720000000001</v>
      </c>
      <c r="R68">
        <f t="shared" si="1"/>
        <v>0.52567200000000014</v>
      </c>
      <c r="S68">
        <v>6.5770999999999997</v>
      </c>
      <c r="T68">
        <v>-4.6463599999999996</v>
      </c>
      <c r="U68">
        <v>-1.3412900000000001</v>
      </c>
      <c r="V68">
        <v>-0.85309000000000001</v>
      </c>
    </row>
    <row r="69" spans="1:22" ht="30" customHeight="1" x14ac:dyDescent="0.2">
      <c r="A69" s="138" t="s">
        <v>691</v>
      </c>
      <c r="B69" s="110">
        <f>V8-F61-catmap数据集!W8</f>
        <v>-2.9691515000000663</v>
      </c>
      <c r="C69">
        <f>V12-V9</f>
        <v>4.5113999999898624E-2</v>
      </c>
      <c r="E69" t="s">
        <v>759</v>
      </c>
      <c r="L69">
        <v>2.3401000000000001</v>
      </c>
      <c r="M69">
        <v>9.8211069999999996</v>
      </c>
      <c r="N69">
        <f t="shared" si="0"/>
        <v>-2.1788930000000004</v>
      </c>
      <c r="O69">
        <v>7.5173810000000003</v>
      </c>
      <c r="P69">
        <f>-(10-O69)</f>
        <v>-2.4826189999999997</v>
      </c>
      <c r="Q69">
        <v>6.6272770000000003</v>
      </c>
      <c r="R69">
        <f t="shared" si="1"/>
        <v>0.62727700000000031</v>
      </c>
      <c r="S69">
        <v>6.6126659999999999</v>
      </c>
      <c r="T69">
        <v>-4.1577900000000003</v>
      </c>
      <c r="U69">
        <v>-1.44794</v>
      </c>
      <c r="V69">
        <v>-1.7593799999999999</v>
      </c>
    </row>
    <row r="70" spans="1:22" ht="30" customHeight="1" x14ac:dyDescent="0.2">
      <c r="A70" s="138" t="s">
        <v>692</v>
      </c>
      <c r="B70" s="110">
        <f>AC8-F61-catmap数据集!AD8</f>
        <v>-2.8430015000001276</v>
      </c>
      <c r="C70">
        <f>AC13-AC9</f>
        <v>0.21401799999989635</v>
      </c>
      <c r="L70">
        <v>6.7400000000000002E-2</v>
      </c>
      <c r="M70">
        <v>9.9321859999999997</v>
      </c>
      <c r="N70">
        <f t="shared" si="0"/>
        <v>-2.0678140000000003</v>
      </c>
      <c r="O70">
        <v>5.1031199999999997</v>
      </c>
      <c r="P70">
        <f>-(7-O70)</f>
        <v>-1.8968800000000003</v>
      </c>
      <c r="Q70">
        <v>6.5480739999999997</v>
      </c>
      <c r="R70">
        <f t="shared" si="1"/>
        <v>0.54807399999999973</v>
      </c>
      <c r="S70">
        <v>6.6282170000000002</v>
      </c>
      <c r="T70">
        <v>-4.0460900000000004</v>
      </c>
      <c r="U70">
        <v>-1.03868</v>
      </c>
      <c r="V70">
        <v>-1.46211</v>
      </c>
    </row>
    <row r="71" spans="1:22" ht="30" customHeight="1" x14ac:dyDescent="0.2">
      <c r="A71" s="138" t="s">
        <v>693</v>
      </c>
      <c r="B71" s="122">
        <f>AK8-F61-catmap数据集!AL8</f>
        <v>-2.4991880000001174</v>
      </c>
      <c r="C71">
        <f>AK13-AK9</f>
        <v>1.1965000000031978E-2</v>
      </c>
      <c r="L71">
        <v>0.40410000000000001</v>
      </c>
      <c r="M71">
        <v>9.9429440000000007</v>
      </c>
      <c r="N71">
        <f t="shared" si="0"/>
        <v>-2.0570559999999993</v>
      </c>
      <c r="O71">
        <v>10.563761</v>
      </c>
      <c r="P71">
        <f>-(13-O71)</f>
        <v>-2.4362390000000005</v>
      </c>
      <c r="Q71">
        <v>6.6109520000000002</v>
      </c>
      <c r="R71">
        <f t="shared" si="1"/>
        <v>0.61095200000000016</v>
      </c>
      <c r="S71">
        <v>6.5967969999999996</v>
      </c>
      <c r="T71">
        <v>-4.1223099999999997</v>
      </c>
      <c r="U71">
        <v>-1.07229</v>
      </c>
      <c r="V71">
        <v>-1.68292</v>
      </c>
    </row>
    <row r="72" spans="1:22" ht="30" customHeight="1" x14ac:dyDescent="0.2">
      <c r="A72" s="138" t="s">
        <v>694</v>
      </c>
      <c r="B72" s="110">
        <f>AR8-F61-catmap数据集!AS8</f>
        <v>-2.1216690000001108</v>
      </c>
      <c r="C72">
        <f>AR13-AR9</f>
        <v>2.7209000000084416E-2</v>
      </c>
      <c r="L72">
        <v>-0.15040000000000001</v>
      </c>
      <c r="M72">
        <v>9.8418869999999998</v>
      </c>
      <c r="N72">
        <f t="shared" si="0"/>
        <v>-2.1581130000000002</v>
      </c>
      <c r="O72">
        <v>11.875527999999999</v>
      </c>
      <c r="P72">
        <f>-(14-O72)</f>
        <v>-2.1244720000000008</v>
      </c>
      <c r="Q72">
        <v>6.583018</v>
      </c>
      <c r="R72">
        <f t="shared" si="1"/>
        <v>0.58301800000000004</v>
      </c>
      <c r="S72">
        <v>6.6086070000000001</v>
      </c>
      <c r="T72">
        <v>-3.9714900000000002</v>
      </c>
      <c r="U72">
        <v>-1.1408400000000001</v>
      </c>
      <c r="V72">
        <v>-1.55142</v>
      </c>
    </row>
    <row r="73" spans="1:22" ht="30" customHeight="1" x14ac:dyDescent="0.2">
      <c r="A73" s="138" t="s">
        <v>695</v>
      </c>
      <c r="B73" s="110">
        <f>AY8-F61-catmap数据集!AZ8</f>
        <v>-2.2778395000000273</v>
      </c>
      <c r="C73">
        <f>AY13-AY9</f>
        <v>-6.487800000002153E-2</v>
      </c>
      <c r="L73">
        <v>7.9699999999999993E-2</v>
      </c>
      <c r="M73">
        <v>9.8156820000000007</v>
      </c>
      <c r="N73">
        <f t="shared" si="0"/>
        <v>-2.1843179999999993</v>
      </c>
      <c r="O73">
        <v>10.988097</v>
      </c>
      <c r="P73">
        <f>-(13-O73)</f>
        <v>-2.0119030000000002</v>
      </c>
      <c r="Q73">
        <v>6.5738219999999998</v>
      </c>
      <c r="R73">
        <f t="shared" si="1"/>
        <v>0.57382199999999983</v>
      </c>
      <c r="S73">
        <v>6.5650449999999996</v>
      </c>
      <c r="T73">
        <v>-4.3101099999999999</v>
      </c>
      <c r="U73">
        <v>-1.49817</v>
      </c>
      <c r="V73">
        <v>-0.94916999999999996</v>
      </c>
    </row>
    <row r="74" spans="1:22" ht="30" customHeight="1" x14ac:dyDescent="0.2">
      <c r="A74" s="138" t="s">
        <v>696</v>
      </c>
      <c r="B74" s="110">
        <f>BF8-F61-catmap数据集!BG8</f>
        <v>-2.8401280000001634</v>
      </c>
      <c r="C74">
        <f>BF13-BF9</f>
        <v>2.2291999999993095E-2</v>
      </c>
      <c r="L74">
        <v>2.3050999999999999</v>
      </c>
      <c r="M74">
        <v>9.8114609999999995</v>
      </c>
      <c r="N74">
        <f t="shared" si="0"/>
        <v>-2.1885390000000005</v>
      </c>
      <c r="O74">
        <v>9.4871580000000009</v>
      </c>
      <c r="P74">
        <f>-(12-O74)</f>
        <v>-2.5128419999999991</v>
      </c>
      <c r="Q74">
        <v>6.6258319999999999</v>
      </c>
      <c r="R74">
        <f t="shared" si="1"/>
        <v>0.62583199999999994</v>
      </c>
      <c r="S74">
        <v>6.5729939999999996</v>
      </c>
      <c r="T74">
        <v>-4.1680200000000003</v>
      </c>
      <c r="U74">
        <v>-1.4342999999999999</v>
      </c>
      <c r="V74">
        <v>-1.73123</v>
      </c>
    </row>
    <row r="75" spans="1:22" ht="30" customHeight="1" x14ac:dyDescent="0.2">
      <c r="A75" s="138" t="s">
        <v>697</v>
      </c>
      <c r="B75" s="110">
        <f>BM8-F61-catmap数据集!BN8</f>
        <v>-0.79373250000003281</v>
      </c>
      <c r="C75">
        <f>BM13-BM9</f>
        <v>-1.611831000000052</v>
      </c>
      <c r="L75">
        <v>-0.42509999999999998</v>
      </c>
      <c r="M75">
        <v>9.7971629999999994</v>
      </c>
      <c r="N75">
        <f t="shared" si="0"/>
        <v>-2.2028370000000006</v>
      </c>
      <c r="O75">
        <v>7.55253</v>
      </c>
      <c r="P75">
        <f>-(9-O75)</f>
        <v>-1.44747</v>
      </c>
      <c r="Q75">
        <v>6.4542469999999996</v>
      </c>
      <c r="R75">
        <f t="shared" si="1"/>
        <v>0.45424699999999962</v>
      </c>
      <c r="S75">
        <v>6.4153700000000002</v>
      </c>
      <c r="T75">
        <v>-5.4466700000000001</v>
      </c>
      <c r="U75">
        <v>-1.1150199999999999</v>
      </c>
      <c r="V75">
        <v>-0.63183999999999996</v>
      </c>
    </row>
    <row r="76" spans="1:22" ht="30" customHeight="1" x14ac:dyDescent="0.2">
      <c r="A76" s="138" t="s">
        <v>698</v>
      </c>
      <c r="B76" s="110">
        <f>BT8-F61-catmap数据集!BU8</f>
        <v>-2.3911150000000134</v>
      </c>
      <c r="C76">
        <f>BT13-BT9</f>
        <v>7.7859999998963758E-3</v>
      </c>
      <c r="L76">
        <v>1.9493</v>
      </c>
      <c r="M76">
        <v>9.8607709999999997</v>
      </c>
      <c r="N76">
        <f t="shared" si="0"/>
        <v>-2.1392290000000003</v>
      </c>
      <c r="O76">
        <v>9.8620739999999998</v>
      </c>
      <c r="P76">
        <f>-(12-O76)</f>
        <v>-2.1379260000000002</v>
      </c>
      <c r="Q76">
        <v>6.6334410000000004</v>
      </c>
      <c r="R76">
        <f t="shared" si="1"/>
        <v>0.63344100000000036</v>
      </c>
      <c r="S76">
        <v>6.5559130000000003</v>
      </c>
      <c r="T76">
        <v>-4.1680200000000003</v>
      </c>
      <c r="U76">
        <v>-1.5132699999999999</v>
      </c>
      <c r="V76">
        <v>-1.3566100000000001</v>
      </c>
    </row>
    <row r="77" spans="1:22" ht="30" customHeight="1" x14ac:dyDescent="0.2">
      <c r="A77" s="138" t="s">
        <v>699</v>
      </c>
      <c r="B77" s="110">
        <f>CA8-F61-catmap数据集!CB8</f>
        <v>-2.5174224999999524</v>
      </c>
      <c r="C77">
        <f>CA13-CA9</f>
        <v>0.10290099999986069</v>
      </c>
      <c r="L77">
        <v>2.7699999999999999E-2</v>
      </c>
      <c r="M77">
        <v>9.932836</v>
      </c>
      <c r="N77">
        <f t="shared" si="0"/>
        <v>-2.067164</v>
      </c>
      <c r="O77">
        <v>11.652694</v>
      </c>
      <c r="P77">
        <f>-(14-O77)</f>
        <v>-2.3473059999999997</v>
      </c>
      <c r="Q77">
        <v>6.6111329999999997</v>
      </c>
      <c r="R77">
        <f t="shared" si="1"/>
        <v>0.6111329999999997</v>
      </c>
      <c r="S77">
        <v>6.5922960000000002</v>
      </c>
      <c r="T77">
        <v>-4.1501400000000004</v>
      </c>
      <c r="U77">
        <v>-1.11443</v>
      </c>
      <c r="V77">
        <v>-1.2564</v>
      </c>
    </row>
    <row r="78" spans="1:22" ht="30" customHeight="1" x14ac:dyDescent="0.2">
      <c r="A78" s="138" t="s">
        <v>700</v>
      </c>
      <c r="B78" s="110">
        <f>CI8-F61-catmap数据集!CI8</f>
        <v>-2.6626910000001089</v>
      </c>
      <c r="C78">
        <f>CI13-CI9</f>
        <v>5.5787000000009357E-2</v>
      </c>
      <c r="L78">
        <v>0.44359999999999999</v>
      </c>
      <c r="M78">
        <v>9.9791319999999999</v>
      </c>
      <c r="N78">
        <f t="shared" si="0"/>
        <v>-2.0208680000000001</v>
      </c>
      <c r="O78">
        <v>8.4619199999999992</v>
      </c>
      <c r="P78">
        <f>-(11-O78)</f>
        <v>-2.5380800000000008</v>
      </c>
      <c r="Q78">
        <v>6.6288450000000001</v>
      </c>
      <c r="R78">
        <f t="shared" si="1"/>
        <v>0.6288450000000001</v>
      </c>
      <c r="S78">
        <v>6.5906650000000004</v>
      </c>
      <c r="T78">
        <v>-4.0756100000000002</v>
      </c>
      <c r="U78">
        <v>-1.02677</v>
      </c>
      <c r="V78">
        <v>-1.7939499999999999</v>
      </c>
    </row>
    <row r="79" spans="1:22" ht="30" customHeight="1" x14ac:dyDescent="0.2">
      <c r="A79" s="138" t="s">
        <v>701</v>
      </c>
      <c r="B79" s="110">
        <f>CP8-F61-catmap数据集!CQ8</f>
        <v>-1.9916734999999335</v>
      </c>
      <c r="C79">
        <f>CP13-CP9</f>
        <v>4.5379999999113352E-3</v>
      </c>
      <c r="L79">
        <v>0.30409999999999998</v>
      </c>
      <c r="M79">
        <v>9.8514379999999999</v>
      </c>
      <c r="N79">
        <f t="shared" si="0"/>
        <v>-2.1485620000000001</v>
      </c>
      <c r="O79">
        <v>10.182285</v>
      </c>
      <c r="P79">
        <f>-(12-O79)</f>
        <v>-1.8177149999999997</v>
      </c>
      <c r="Q79">
        <v>6.5343</v>
      </c>
      <c r="R79">
        <f t="shared" si="1"/>
        <v>0.5343</v>
      </c>
      <c r="S79">
        <v>6.6397259999999996</v>
      </c>
      <c r="T79">
        <v>-4.4393200000000004</v>
      </c>
      <c r="U79">
        <v>-1.2936799999999999</v>
      </c>
      <c r="V79">
        <v>-0.92669999999999997</v>
      </c>
    </row>
    <row r="80" spans="1:22" ht="30" customHeight="1" x14ac:dyDescent="0.2">
      <c r="A80" s="138" t="s">
        <v>702</v>
      </c>
      <c r="B80" s="110">
        <f>CW8-F61-catmap数据集!CX8</f>
        <v>-3.7915360000000646</v>
      </c>
      <c r="C80">
        <f>CW13-CW9</f>
        <v>-9.1605000000072323E-2</v>
      </c>
      <c r="D80" s="113"/>
      <c r="L80">
        <v>2.1368999999999998</v>
      </c>
      <c r="M80">
        <v>9.7745979999999992</v>
      </c>
      <c r="N80">
        <f t="shared" si="0"/>
        <v>-2.2254020000000008</v>
      </c>
      <c r="Q80">
        <v>6.7316719999999997</v>
      </c>
      <c r="R80">
        <f t="shared" si="1"/>
        <v>0.73167199999999966</v>
      </c>
      <c r="S80">
        <v>6.5754669999999997</v>
      </c>
      <c r="T80">
        <v>-4.24472</v>
      </c>
      <c r="U80">
        <v>-1.20567</v>
      </c>
      <c r="V80" s="3">
        <v>-2.3174000000000001</v>
      </c>
    </row>
    <row r="81" spans="1:22" ht="30" customHeight="1" x14ac:dyDescent="0.2">
      <c r="A81" s="138" t="s">
        <v>703</v>
      </c>
      <c r="B81" s="110">
        <f>DD8-F61-catmap数据集!DE8</f>
        <v>-1.076366999999891</v>
      </c>
      <c r="C81">
        <f>DD13-DD9</f>
        <v>-9.5211000000062995E-2</v>
      </c>
      <c r="L81">
        <v>-0.152</v>
      </c>
      <c r="M81">
        <v>9.8321249999999996</v>
      </c>
      <c r="N81">
        <f t="shared" si="0"/>
        <v>-2.1678750000000004</v>
      </c>
      <c r="O81">
        <v>8.7043359999999996</v>
      </c>
      <c r="P81">
        <f>-(10-O81)</f>
        <v>-1.2956640000000004</v>
      </c>
      <c r="Q81">
        <v>6.4384480000000002</v>
      </c>
      <c r="R81">
        <f t="shared" si="1"/>
        <v>0.43844800000000017</v>
      </c>
      <c r="S81">
        <v>6.4491069999999997</v>
      </c>
      <c r="T81">
        <v>-5.2711899999999998</v>
      </c>
      <c r="U81">
        <v>-1.17106</v>
      </c>
      <c r="V81">
        <v>-0.72221000000000002</v>
      </c>
    </row>
  </sheetData>
  <mergeCells count="165">
    <mergeCell ref="A34:F34"/>
    <mergeCell ref="A39:F39"/>
    <mergeCell ref="A18:F18"/>
    <mergeCell ref="I18:N18"/>
    <mergeCell ref="I26:N26"/>
    <mergeCell ref="I22:N22"/>
    <mergeCell ref="I30:N30"/>
    <mergeCell ref="AF10:AK10"/>
    <mergeCell ref="AF14:AK14"/>
    <mergeCell ref="AF22:AK22"/>
    <mergeCell ref="AF26:AK26"/>
    <mergeCell ref="X10:AC10"/>
    <mergeCell ref="X14:AC14"/>
    <mergeCell ref="Q26:V26"/>
    <mergeCell ref="Q30:V30"/>
    <mergeCell ref="X26:AC26"/>
    <mergeCell ref="X30:AC30"/>
    <mergeCell ref="X22:AC22"/>
    <mergeCell ref="X18:AC18"/>
    <mergeCell ref="A22:F22"/>
    <mergeCell ref="A26:F26"/>
    <mergeCell ref="A30:F30"/>
    <mergeCell ref="Q18:V18"/>
    <mergeCell ref="Q22:V22"/>
    <mergeCell ref="AT1:AY1"/>
    <mergeCell ref="Q1:V1"/>
    <mergeCell ref="Q2:V2"/>
    <mergeCell ref="Q6:V6"/>
    <mergeCell ref="Q10:V10"/>
    <mergeCell ref="AF1:AK1"/>
    <mergeCell ref="AF2:AK2"/>
    <mergeCell ref="X1:AC1"/>
    <mergeCell ref="X2:AC2"/>
    <mergeCell ref="AF6:AK6"/>
    <mergeCell ref="X6:AC6"/>
    <mergeCell ref="A1:F1"/>
    <mergeCell ref="A2:F2"/>
    <mergeCell ref="A6:F6"/>
    <mergeCell ref="A10:F10"/>
    <mergeCell ref="A14:F14"/>
    <mergeCell ref="AM1:AR1"/>
    <mergeCell ref="Q14:V14"/>
    <mergeCell ref="I1:N1"/>
    <mergeCell ref="I2:N2"/>
    <mergeCell ref="I6:N6"/>
    <mergeCell ref="I14:N14"/>
    <mergeCell ref="I10:N10"/>
    <mergeCell ref="AM2:AR2"/>
    <mergeCell ref="AM6:AR6"/>
    <mergeCell ref="AM10:AR10"/>
    <mergeCell ref="AM14:AR14"/>
    <mergeCell ref="CC39:CI39"/>
    <mergeCell ref="BO39:BT39"/>
    <mergeCell ref="BH39:BM39"/>
    <mergeCell ref="BA39:BF39"/>
    <mergeCell ref="AT26:AY26"/>
    <mergeCell ref="I34:N34"/>
    <mergeCell ref="I39:N39"/>
    <mergeCell ref="AT39:AY39"/>
    <mergeCell ref="BA34:BF34"/>
    <mergeCell ref="BV39:CA39"/>
    <mergeCell ref="X39:AC39"/>
    <mergeCell ref="AT34:AY34"/>
    <mergeCell ref="Q39:V39"/>
    <mergeCell ref="X34:AC34"/>
    <mergeCell ref="Q34:V34"/>
    <mergeCell ref="AT30:AY30"/>
    <mergeCell ref="AF30:AK30"/>
    <mergeCell ref="AF34:AK34"/>
    <mergeCell ref="AM39:AR39"/>
    <mergeCell ref="AM26:AR26"/>
    <mergeCell ref="AM30:AR30"/>
    <mergeCell ref="AM34:AR34"/>
    <mergeCell ref="AF39:AK39"/>
    <mergeCell ref="AM22:AR22"/>
    <mergeCell ref="AT2:AY2"/>
    <mergeCell ref="AT6:AY6"/>
    <mergeCell ref="AT10:AY10"/>
    <mergeCell ref="AT14:AY14"/>
    <mergeCell ref="AT22:AY22"/>
    <mergeCell ref="AT18:AY18"/>
    <mergeCell ref="AM18:AR18"/>
    <mergeCell ref="AF18:AK18"/>
    <mergeCell ref="BA1:BF1"/>
    <mergeCell ref="BA2:BF2"/>
    <mergeCell ref="BA6:BF6"/>
    <mergeCell ref="BA10:BF10"/>
    <mergeCell ref="BA14:BF14"/>
    <mergeCell ref="BH34:BM34"/>
    <mergeCell ref="BH2:BM2"/>
    <mergeCell ref="BH6:BM6"/>
    <mergeCell ref="BH10:BM10"/>
    <mergeCell ref="BH14:BM14"/>
    <mergeCell ref="BA26:BF26"/>
    <mergeCell ref="BA30:BF30"/>
    <mergeCell ref="BH18:BM18"/>
    <mergeCell ref="BH22:BM22"/>
    <mergeCell ref="BH26:BM26"/>
    <mergeCell ref="BH30:BM30"/>
    <mergeCell ref="BA18:BF18"/>
    <mergeCell ref="BA22:BF22"/>
    <mergeCell ref="CK1:CP1"/>
    <mergeCell ref="CK2:CP2"/>
    <mergeCell ref="CK6:CP6"/>
    <mergeCell ref="CK10:CP10"/>
    <mergeCell ref="CK14:CP14"/>
    <mergeCell ref="BH1:BM1"/>
    <mergeCell ref="BV14:CA14"/>
    <mergeCell ref="BV1:CA1"/>
    <mergeCell ref="BV2:CA2"/>
    <mergeCell ref="BO1:BT1"/>
    <mergeCell ref="BO2:BT2"/>
    <mergeCell ref="BO6:BT6"/>
    <mergeCell ref="BO10:BT10"/>
    <mergeCell ref="BO14:BT14"/>
    <mergeCell ref="BV6:CA6"/>
    <mergeCell ref="BV10:CA10"/>
    <mergeCell ref="CC18:CI18"/>
    <mergeCell ref="CC22:CI22"/>
    <mergeCell ref="CC26:CI26"/>
    <mergeCell ref="CC30:CI30"/>
    <mergeCell ref="CC34:CI34"/>
    <mergeCell ref="CC1:CI1"/>
    <mergeCell ref="CC2:CI2"/>
    <mergeCell ref="CC6:CI6"/>
    <mergeCell ref="CC10:CI10"/>
    <mergeCell ref="CC14:CI14"/>
    <mergeCell ref="CY18:DD18"/>
    <mergeCell ref="CY22:DD22"/>
    <mergeCell ref="CY26:DD26"/>
    <mergeCell ref="CY30:DD30"/>
    <mergeCell ref="CY34:DD34"/>
    <mergeCell ref="CR1:CW1"/>
    <mergeCell ref="CY39:DD39"/>
    <mergeCell ref="CY1:DD1"/>
    <mergeCell ref="CY2:DD2"/>
    <mergeCell ref="CY6:DD6"/>
    <mergeCell ref="CY10:DD10"/>
    <mergeCell ref="CY14:DD14"/>
    <mergeCell ref="CR2:CW2"/>
    <mergeCell ref="CR6:CW6"/>
    <mergeCell ref="CR10:CW10"/>
    <mergeCell ref="CK26:CP26"/>
    <mergeCell ref="CK30:CP30"/>
    <mergeCell ref="CK34:CP34"/>
    <mergeCell ref="CK39:CP39"/>
    <mergeCell ref="CR18:CW18"/>
    <mergeCell ref="CR22:CW22"/>
    <mergeCell ref="CR26:CW26"/>
    <mergeCell ref="CR30:CW30"/>
    <mergeCell ref="CR14:CW14"/>
    <mergeCell ref="CR34:CW34"/>
    <mergeCell ref="CR39:CW39"/>
    <mergeCell ref="CK18:CP18"/>
    <mergeCell ref="CK22:CP22"/>
    <mergeCell ref="BO18:BT18"/>
    <mergeCell ref="BO22:BT22"/>
    <mergeCell ref="BO26:BT26"/>
    <mergeCell ref="BO30:BT30"/>
    <mergeCell ref="BO34:BT34"/>
    <mergeCell ref="BV18:CA18"/>
    <mergeCell ref="BV22:CA22"/>
    <mergeCell ref="BV26:CA26"/>
    <mergeCell ref="BV30:CA30"/>
    <mergeCell ref="BV34:CA34"/>
  </mergeCells>
  <phoneticPr fontId="1" type="noConversion"/>
  <pageMargins left="0.7" right="0.7" top="0.75" bottom="0.75" header="0.3" footer="0.3"/>
  <pageSetup paperSize="9" orientation="portrait" r:id="rId1"/>
  <colBreaks count="12" manualBreakCount="12">
    <brk id="8" max="1048575" man="1"/>
    <brk id="23" max="1048575" man="1"/>
    <brk id="38" max="1048575" man="1"/>
    <brk id="45" max="1048575" man="1"/>
    <brk id="52" max="1048575" man="1"/>
    <brk id="59" max="1048575" man="1"/>
    <brk id="66" max="1048575" man="1"/>
    <brk id="73" max="1048575" man="1"/>
    <brk id="80" max="1048575" man="1"/>
    <brk id="88" max="1048575" man="1"/>
    <brk id="95" max="1048575" man="1"/>
    <brk id="10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B7E-2FFD-4EF4-A57D-C6641F2F0517}">
  <dimension ref="A1:DF64"/>
  <sheetViews>
    <sheetView topLeftCell="CN1" zoomScale="115" zoomScaleNormal="115" workbookViewId="0">
      <pane ySplit="1" topLeftCell="A2" activePane="bottomLeft" state="frozen"/>
      <selection activeCell="AL1" sqref="AL1"/>
      <selection pane="bottomLeft" activeCell="DE12" sqref="DE12"/>
    </sheetView>
  </sheetViews>
  <sheetFormatPr defaultRowHeight="14.25" x14ac:dyDescent="0.2"/>
  <cols>
    <col min="1" max="1" width="14" customWidth="1"/>
  </cols>
  <sheetData>
    <row r="1" spans="2:109" ht="25.5" x14ac:dyDescent="0.35">
      <c r="B1" s="155" t="s">
        <v>264</v>
      </c>
      <c r="C1" s="156"/>
      <c r="D1" s="156"/>
      <c r="E1" s="156"/>
      <c r="F1" s="156"/>
      <c r="G1" s="157"/>
      <c r="J1" s="155" t="s">
        <v>292</v>
      </c>
      <c r="K1" s="156"/>
      <c r="L1" s="156"/>
      <c r="M1" s="156"/>
      <c r="N1" s="156"/>
      <c r="O1" s="157"/>
      <c r="R1" s="155" t="s">
        <v>294</v>
      </c>
      <c r="S1" s="156"/>
      <c r="T1" s="156"/>
      <c r="U1" s="156"/>
      <c r="V1" s="156"/>
      <c r="W1" s="157"/>
      <c r="Y1" s="155" t="s">
        <v>312</v>
      </c>
      <c r="Z1" s="156"/>
      <c r="AA1" s="156"/>
      <c r="AB1" s="156"/>
      <c r="AC1" s="156"/>
      <c r="AD1" s="157"/>
      <c r="AG1" s="155" t="s">
        <v>317</v>
      </c>
      <c r="AH1" s="156"/>
      <c r="AI1" s="156"/>
      <c r="AJ1" s="156"/>
      <c r="AK1" s="156"/>
      <c r="AL1" s="157"/>
      <c r="AN1" s="155" t="s">
        <v>324</v>
      </c>
      <c r="AO1" s="156"/>
      <c r="AP1" s="156"/>
      <c r="AQ1" s="156"/>
      <c r="AR1" s="156"/>
      <c r="AS1" s="157"/>
      <c r="AU1" s="155" t="s">
        <v>329</v>
      </c>
      <c r="AV1" s="156"/>
      <c r="AW1" s="156"/>
      <c r="AX1" s="156"/>
      <c r="AY1" s="156"/>
      <c r="AZ1" s="157"/>
      <c r="BB1" s="155" t="s">
        <v>335</v>
      </c>
      <c r="BC1" s="156"/>
      <c r="BD1" s="156"/>
      <c r="BE1" s="156"/>
      <c r="BF1" s="156"/>
      <c r="BG1" s="157"/>
      <c r="BI1" s="155" t="s">
        <v>352</v>
      </c>
      <c r="BJ1" s="156"/>
      <c r="BK1" s="156"/>
      <c r="BL1" s="156"/>
      <c r="BM1" s="156"/>
      <c r="BN1" s="157"/>
      <c r="BP1" s="155" t="s">
        <v>403</v>
      </c>
      <c r="BQ1" s="156"/>
      <c r="BR1" s="156"/>
      <c r="BS1" s="156"/>
      <c r="BT1" s="156"/>
      <c r="BU1" s="157"/>
      <c r="BW1" s="155" t="s">
        <v>404</v>
      </c>
      <c r="BX1" s="156"/>
      <c r="BY1" s="156"/>
      <c r="BZ1" s="156"/>
      <c r="CA1" s="156"/>
      <c r="CB1" s="157"/>
      <c r="CD1" s="172" t="s">
        <v>405</v>
      </c>
      <c r="CE1" s="173"/>
      <c r="CF1" s="173"/>
      <c r="CG1" s="173"/>
      <c r="CH1" s="173"/>
      <c r="CI1" s="173"/>
      <c r="CJ1" s="53"/>
      <c r="CL1" s="155" t="s">
        <v>451</v>
      </c>
      <c r="CM1" s="156"/>
      <c r="CN1" s="156"/>
      <c r="CO1" s="156"/>
      <c r="CP1" s="156"/>
      <c r="CQ1" s="157"/>
      <c r="CS1" s="155" t="s">
        <v>452</v>
      </c>
      <c r="CT1" s="156"/>
      <c r="CU1" s="156"/>
      <c r="CV1" s="156"/>
      <c r="CW1" s="156"/>
      <c r="CX1" s="157"/>
      <c r="CZ1" s="155" t="s">
        <v>453</v>
      </c>
      <c r="DA1" s="156"/>
      <c r="DB1" s="156"/>
      <c r="DC1" s="156"/>
      <c r="DD1" s="156"/>
      <c r="DE1" s="157"/>
    </row>
    <row r="2" spans="2:109" x14ac:dyDescent="0.2">
      <c r="B2" s="148" t="s">
        <v>527</v>
      </c>
      <c r="C2" s="149"/>
      <c r="D2" s="149"/>
      <c r="E2" s="149"/>
      <c r="F2" s="149"/>
      <c r="G2" s="150"/>
      <c r="J2" s="148" t="s">
        <v>527</v>
      </c>
      <c r="K2" s="149"/>
      <c r="L2" s="149"/>
      <c r="M2" s="149"/>
      <c r="N2" s="149"/>
      <c r="O2" s="150"/>
      <c r="R2" s="148" t="s">
        <v>527</v>
      </c>
      <c r="S2" s="149"/>
      <c r="T2" s="149"/>
      <c r="U2" s="149"/>
      <c r="V2" s="149"/>
      <c r="W2" s="150"/>
      <c r="Y2" s="148" t="s">
        <v>527</v>
      </c>
      <c r="Z2" s="149"/>
      <c r="AA2" s="149"/>
      <c r="AB2" s="149"/>
      <c r="AC2" s="149"/>
      <c r="AD2" s="150"/>
      <c r="AG2" s="148" t="s">
        <v>527</v>
      </c>
      <c r="AH2" s="149"/>
      <c r="AI2" s="149"/>
      <c r="AJ2" s="149"/>
      <c r="AK2" s="149"/>
      <c r="AL2" s="150"/>
      <c r="AN2" s="148" t="s">
        <v>527</v>
      </c>
      <c r="AO2" s="149"/>
      <c r="AP2" s="149"/>
      <c r="AQ2" s="149"/>
      <c r="AR2" s="149"/>
      <c r="AS2" s="150"/>
      <c r="AU2" s="148" t="s">
        <v>527</v>
      </c>
      <c r="AV2" s="149"/>
      <c r="AW2" s="149"/>
      <c r="AX2" s="149"/>
      <c r="AY2" s="149"/>
      <c r="AZ2" s="150"/>
      <c r="BB2" s="148" t="s">
        <v>527</v>
      </c>
      <c r="BC2" s="149"/>
      <c r="BD2" s="149"/>
      <c r="BE2" s="149"/>
      <c r="BF2" s="149"/>
      <c r="BG2" s="150"/>
      <c r="BI2" s="148" t="s">
        <v>527</v>
      </c>
      <c r="BJ2" s="149"/>
      <c r="BK2" s="149"/>
      <c r="BL2" s="149"/>
      <c r="BM2" s="149"/>
      <c r="BN2" s="150"/>
      <c r="BP2" s="148" t="s">
        <v>527</v>
      </c>
      <c r="BQ2" s="149"/>
      <c r="BR2" s="149"/>
      <c r="BS2" s="149"/>
      <c r="BT2" s="149"/>
      <c r="BU2" s="150"/>
      <c r="BW2" s="148" t="s">
        <v>527</v>
      </c>
      <c r="BX2" s="149"/>
      <c r="BY2" s="149"/>
      <c r="BZ2" s="149"/>
      <c r="CA2" s="149"/>
      <c r="CB2" s="150"/>
      <c r="CD2" s="148" t="s">
        <v>527</v>
      </c>
      <c r="CE2" s="149"/>
      <c r="CF2" s="149"/>
      <c r="CG2" s="149"/>
      <c r="CH2" s="149"/>
      <c r="CI2" s="150"/>
      <c r="CL2" s="148" t="s">
        <v>527</v>
      </c>
      <c r="CM2" s="149"/>
      <c r="CN2" s="149"/>
      <c r="CO2" s="149"/>
      <c r="CP2" s="149"/>
      <c r="CQ2" s="150"/>
      <c r="CS2" s="148" t="s">
        <v>527</v>
      </c>
      <c r="CT2" s="149"/>
      <c r="CU2" s="149"/>
      <c r="CV2" s="149"/>
      <c r="CW2" s="149"/>
      <c r="CX2" s="150"/>
      <c r="CZ2" s="148" t="s">
        <v>527</v>
      </c>
      <c r="DA2" s="149"/>
      <c r="DB2" s="149"/>
      <c r="DC2" s="149"/>
      <c r="DD2" s="149"/>
      <c r="DE2" s="150"/>
    </row>
    <row r="3" spans="2:109" ht="15" x14ac:dyDescent="0.25">
      <c r="B3" s="21"/>
      <c r="C3" s="18" t="s">
        <v>259</v>
      </c>
      <c r="D3" s="18" t="s">
        <v>260</v>
      </c>
      <c r="E3" s="18" t="s">
        <v>263</v>
      </c>
      <c r="F3" s="19" t="s">
        <v>261</v>
      </c>
      <c r="G3" s="20" t="s">
        <v>262</v>
      </c>
      <c r="J3" s="21"/>
      <c r="K3" s="18" t="s">
        <v>259</v>
      </c>
      <c r="L3" s="18" t="s">
        <v>260</v>
      </c>
      <c r="M3" s="18" t="s">
        <v>263</v>
      </c>
      <c r="N3" s="19" t="s">
        <v>261</v>
      </c>
      <c r="O3" s="20" t="s">
        <v>262</v>
      </c>
      <c r="R3" s="21"/>
      <c r="S3" s="18" t="s">
        <v>259</v>
      </c>
      <c r="T3" s="18" t="s">
        <v>260</v>
      </c>
      <c r="U3" s="18" t="s">
        <v>263</v>
      </c>
      <c r="V3" s="19" t="s">
        <v>261</v>
      </c>
      <c r="W3" s="20" t="s">
        <v>262</v>
      </c>
      <c r="Y3" s="21"/>
      <c r="Z3" s="18" t="s">
        <v>259</v>
      </c>
      <c r="AA3" s="18" t="s">
        <v>260</v>
      </c>
      <c r="AB3" s="18" t="s">
        <v>263</v>
      </c>
      <c r="AC3" s="19" t="s">
        <v>261</v>
      </c>
      <c r="AD3" s="20" t="s">
        <v>262</v>
      </c>
      <c r="AG3" s="21"/>
      <c r="AH3" s="18" t="s">
        <v>259</v>
      </c>
      <c r="AI3" s="18" t="s">
        <v>260</v>
      </c>
      <c r="AJ3" s="18" t="s">
        <v>263</v>
      </c>
      <c r="AK3" s="19" t="s">
        <v>261</v>
      </c>
      <c r="AL3" s="20" t="s">
        <v>262</v>
      </c>
      <c r="AN3" s="21"/>
      <c r="AO3" s="18" t="s">
        <v>259</v>
      </c>
      <c r="AP3" s="18" t="s">
        <v>260</v>
      </c>
      <c r="AQ3" s="18" t="s">
        <v>263</v>
      </c>
      <c r="AR3" s="19" t="s">
        <v>261</v>
      </c>
      <c r="AS3" s="20" t="s">
        <v>262</v>
      </c>
      <c r="AU3" s="21"/>
      <c r="AV3" s="18" t="s">
        <v>259</v>
      </c>
      <c r="AW3" s="18" t="s">
        <v>260</v>
      </c>
      <c r="AX3" s="18" t="s">
        <v>263</v>
      </c>
      <c r="AY3" s="19" t="s">
        <v>261</v>
      </c>
      <c r="AZ3" s="20" t="s">
        <v>262</v>
      </c>
      <c r="BB3" s="21"/>
      <c r="BC3" s="18" t="s">
        <v>259</v>
      </c>
      <c r="BD3" s="18" t="s">
        <v>260</v>
      </c>
      <c r="BE3" s="18" t="s">
        <v>263</v>
      </c>
      <c r="BF3" s="19" t="s">
        <v>261</v>
      </c>
      <c r="BG3" s="20" t="s">
        <v>262</v>
      </c>
      <c r="BI3" s="21"/>
      <c r="BJ3" s="18" t="s">
        <v>259</v>
      </c>
      <c r="BK3" s="18" t="s">
        <v>260</v>
      </c>
      <c r="BL3" s="18" t="s">
        <v>263</v>
      </c>
      <c r="BM3" s="19" t="s">
        <v>261</v>
      </c>
      <c r="BN3" s="20" t="s">
        <v>262</v>
      </c>
      <c r="BP3" s="21"/>
      <c r="BQ3" s="18" t="s">
        <v>259</v>
      </c>
      <c r="BR3" s="18" t="s">
        <v>260</v>
      </c>
      <c r="BS3" s="18" t="s">
        <v>263</v>
      </c>
      <c r="BT3" s="19" t="s">
        <v>261</v>
      </c>
      <c r="BU3" s="20" t="s">
        <v>262</v>
      </c>
      <c r="BW3" s="21"/>
      <c r="BX3" s="18" t="s">
        <v>259</v>
      </c>
      <c r="BY3" s="18" t="s">
        <v>260</v>
      </c>
      <c r="BZ3" s="18" t="s">
        <v>263</v>
      </c>
      <c r="CA3" s="19" t="s">
        <v>261</v>
      </c>
      <c r="CB3" s="20" t="s">
        <v>262</v>
      </c>
      <c r="CD3" s="21"/>
      <c r="CE3" s="18" t="s">
        <v>259</v>
      </c>
      <c r="CF3" s="18" t="s">
        <v>260</v>
      </c>
      <c r="CG3" s="18" t="s">
        <v>263</v>
      </c>
      <c r="CH3" s="19" t="s">
        <v>261</v>
      </c>
      <c r="CI3" s="20" t="s">
        <v>262</v>
      </c>
      <c r="CL3" s="21"/>
      <c r="CM3" s="18" t="s">
        <v>259</v>
      </c>
      <c r="CN3" s="18" t="s">
        <v>260</v>
      </c>
      <c r="CO3" s="18" t="s">
        <v>263</v>
      </c>
      <c r="CP3" s="19" t="s">
        <v>261</v>
      </c>
      <c r="CQ3" s="20" t="s">
        <v>262</v>
      </c>
      <c r="CS3" s="21"/>
      <c r="CT3" s="18" t="s">
        <v>259</v>
      </c>
      <c r="CU3" s="18" t="s">
        <v>260</v>
      </c>
      <c r="CV3" s="18" t="s">
        <v>263</v>
      </c>
      <c r="CW3" s="19" t="s">
        <v>261</v>
      </c>
      <c r="CX3" s="20" t="s">
        <v>262</v>
      </c>
      <c r="CZ3" s="21"/>
      <c r="DA3" s="18" t="s">
        <v>259</v>
      </c>
      <c r="DB3" s="18" t="s">
        <v>260</v>
      </c>
      <c r="DC3" s="18" t="s">
        <v>263</v>
      </c>
      <c r="DD3" s="19" t="s">
        <v>261</v>
      </c>
      <c r="DE3" s="20" t="s">
        <v>262</v>
      </c>
    </row>
    <row r="4" spans="2:109" x14ac:dyDescent="0.2">
      <c r="B4" s="21">
        <v>1</v>
      </c>
      <c r="C4" s="17">
        <v>-888.86367700000005</v>
      </c>
      <c r="D4" s="17"/>
      <c r="E4" s="17" t="s">
        <v>588</v>
      </c>
      <c r="F4" s="47">
        <f>1.616956 /2</f>
        <v>0.80847800000000003</v>
      </c>
      <c r="G4" s="22">
        <f>C4+F4</f>
        <v>-888.05519900000002</v>
      </c>
      <c r="J4" s="21">
        <v>1</v>
      </c>
      <c r="K4" s="17">
        <v>-890.84805200000005</v>
      </c>
      <c r="L4" s="17"/>
      <c r="M4" s="17" t="s">
        <v>675</v>
      </c>
      <c r="N4" s="47">
        <f>1.599896/2</f>
        <v>0.79994799999999999</v>
      </c>
      <c r="O4" s="22">
        <f>K4+N4</f>
        <v>-890.04810400000008</v>
      </c>
      <c r="R4" s="21">
        <v>1</v>
      </c>
      <c r="S4" s="17">
        <v>-897.38284999999996</v>
      </c>
      <c r="T4" s="17"/>
      <c r="U4" s="17" t="s">
        <v>678</v>
      </c>
      <c r="V4" s="47">
        <f>1.488115/2</f>
        <v>0.74405750000000004</v>
      </c>
      <c r="W4" s="22">
        <f>S4+V4</f>
        <v>-896.63879249999991</v>
      </c>
      <c r="Y4" s="21">
        <v>1</v>
      </c>
      <c r="Z4" s="17">
        <v>-892.37874899999997</v>
      </c>
      <c r="AA4" s="17"/>
      <c r="AB4" s="17" t="s">
        <v>580</v>
      </c>
      <c r="AC4" s="47">
        <f>1.516751/2</f>
        <v>0.75837549999999998</v>
      </c>
      <c r="AD4" s="22">
        <f>Z4+AC4</f>
        <v>-891.62037349999991</v>
      </c>
      <c r="AG4" s="21">
        <v>1</v>
      </c>
      <c r="AH4" s="17">
        <v>-895.11216100000001</v>
      </c>
      <c r="AI4" s="17"/>
      <c r="AJ4" s="17" t="s">
        <v>850</v>
      </c>
      <c r="AK4" s="47">
        <f>1.573585/2</f>
        <v>0.78679250000000001</v>
      </c>
      <c r="AL4" s="22">
        <f>AH4+AK4</f>
        <v>-894.32536849999997</v>
      </c>
      <c r="AN4" s="21">
        <v>1</v>
      </c>
      <c r="AO4" s="17">
        <v>-893.01495</v>
      </c>
      <c r="AP4" s="17"/>
      <c r="AQ4" s="17" t="s">
        <v>602</v>
      </c>
      <c r="AR4" s="47">
        <f>1.460186/2</f>
        <v>0.73009299999999999</v>
      </c>
      <c r="AS4" s="22">
        <f>AO4+AR4</f>
        <v>-892.28485699999999</v>
      </c>
      <c r="AU4" s="21">
        <v>1</v>
      </c>
      <c r="AV4" s="17">
        <v>-893.78057699999999</v>
      </c>
      <c r="AW4" s="17"/>
      <c r="AX4" s="17" t="s">
        <v>564</v>
      </c>
      <c r="AY4" s="47">
        <f>1.589049/2</f>
        <v>0.79452449999999997</v>
      </c>
      <c r="AZ4" s="22">
        <f>AV4+AY4</f>
        <v>-892.98605250000003</v>
      </c>
      <c r="BB4" s="21">
        <v>1</v>
      </c>
      <c r="BC4" s="17">
        <v>-895.62208199999998</v>
      </c>
      <c r="BD4" s="17" t="s">
        <v>673</v>
      </c>
      <c r="BE4" s="17" t="s">
        <v>683</v>
      </c>
      <c r="BF4" s="47">
        <f>1.54176/2</f>
        <v>0.77088000000000001</v>
      </c>
      <c r="BG4" s="22">
        <f>BC4+BF4</f>
        <v>-894.85120199999994</v>
      </c>
      <c r="BI4" s="21">
        <v>1</v>
      </c>
      <c r="BJ4" s="17">
        <v>-886.41000699999995</v>
      </c>
      <c r="BK4" s="17"/>
      <c r="BL4" s="46" t="s">
        <v>643</v>
      </c>
      <c r="BM4" s="47">
        <f>1.432429 /2</f>
        <v>0.71621449999999998</v>
      </c>
      <c r="BN4" s="22">
        <f>BJ4+BM4</f>
        <v>-885.69379249999997</v>
      </c>
      <c r="BP4" s="21">
        <v>1</v>
      </c>
      <c r="BQ4" s="17">
        <v>-893.04954699999996</v>
      </c>
      <c r="BR4" s="17"/>
      <c r="BS4" s="17" t="s">
        <v>550</v>
      </c>
      <c r="BT4" s="47">
        <f>1.774977/2</f>
        <v>0.88748850000000001</v>
      </c>
      <c r="BU4" s="22">
        <f>BQ4+BT4</f>
        <v>-892.16205849999994</v>
      </c>
      <c r="BW4" s="21">
        <v>1</v>
      </c>
      <c r="BX4" s="17">
        <v>-895.33408399999996</v>
      </c>
      <c r="BY4" s="17"/>
      <c r="BZ4" s="17" t="s">
        <v>652</v>
      </c>
      <c r="CA4" s="47">
        <f>1.578092/2</f>
        <v>0.78904600000000003</v>
      </c>
      <c r="CB4" s="22">
        <f>BX4+CA4</f>
        <v>-894.54503799999998</v>
      </c>
      <c r="CD4" s="21">
        <v>1</v>
      </c>
      <c r="CE4" s="17">
        <v>-896.89764300000002</v>
      </c>
      <c r="CF4" s="17"/>
      <c r="CG4" s="17" t="s">
        <v>661</v>
      </c>
      <c r="CH4" s="47">
        <f>1.46196/2</f>
        <v>0.73097999999999996</v>
      </c>
      <c r="CI4" s="22">
        <f>CE4+CH4</f>
        <v>-896.16666299999997</v>
      </c>
      <c r="CL4" s="21">
        <v>1</v>
      </c>
      <c r="CM4" s="17">
        <v>-891.36858099999995</v>
      </c>
      <c r="CN4" s="17"/>
      <c r="CO4" s="17" t="s">
        <v>609</v>
      </c>
      <c r="CP4" s="47">
        <f>1.695026/2</f>
        <v>0.84751299999999996</v>
      </c>
      <c r="CQ4" s="22">
        <f>CM4+CP4</f>
        <v>-890.5210679999999</v>
      </c>
      <c r="CS4" s="21">
        <v>1</v>
      </c>
      <c r="CT4" s="17">
        <v>-892.38557900000001</v>
      </c>
      <c r="CU4" s="17"/>
      <c r="CV4" s="17" t="s">
        <v>623</v>
      </c>
      <c r="CW4" s="47">
        <f>1.549208/2</f>
        <v>0.77460399999999996</v>
      </c>
      <c r="CX4" s="22">
        <f>CT4+CW4</f>
        <v>-891.61097500000005</v>
      </c>
      <c r="CZ4" s="21">
        <v>1</v>
      </c>
      <c r="DA4" s="17">
        <v>-882.51939400000003</v>
      </c>
      <c r="DB4" s="17"/>
      <c r="DC4" s="17" t="s">
        <v>632</v>
      </c>
      <c r="DD4" s="47">
        <f>1.67722/2</f>
        <v>0.83860999999999997</v>
      </c>
      <c r="DE4" s="22">
        <f>DA4+DD4</f>
        <v>-881.68078400000002</v>
      </c>
    </row>
    <row r="5" spans="2:109" x14ac:dyDescent="0.2">
      <c r="B5" s="21" t="s">
        <v>270</v>
      </c>
      <c r="C5" s="17"/>
      <c r="D5" s="17"/>
      <c r="E5" s="17"/>
      <c r="F5" s="17"/>
      <c r="G5" s="22"/>
      <c r="J5" s="21" t="s">
        <v>270</v>
      </c>
      <c r="K5" s="17"/>
      <c r="L5" s="17"/>
      <c r="M5" s="17"/>
      <c r="N5" s="17"/>
      <c r="O5" s="22"/>
      <c r="R5" s="21" t="s">
        <v>270</v>
      </c>
      <c r="S5" s="17"/>
      <c r="T5" s="17"/>
      <c r="U5" s="17"/>
      <c r="V5" s="17"/>
      <c r="W5" s="22"/>
      <c r="Y5" s="21" t="s">
        <v>270</v>
      </c>
      <c r="Z5" s="17"/>
      <c r="AA5" s="17"/>
      <c r="AB5" s="17"/>
      <c r="AC5" s="17"/>
      <c r="AD5" s="22"/>
      <c r="AG5" s="21" t="s">
        <v>270</v>
      </c>
      <c r="AH5" s="17"/>
      <c r="AI5" s="17"/>
      <c r="AJ5" s="17"/>
      <c r="AK5" s="17"/>
      <c r="AL5" s="22"/>
      <c r="AN5" s="21" t="s">
        <v>270</v>
      </c>
      <c r="AO5" s="17"/>
      <c r="AP5" s="17"/>
      <c r="AQ5" s="17"/>
      <c r="AR5" s="17"/>
      <c r="AS5" s="22"/>
      <c r="AU5" s="21" t="s">
        <v>270</v>
      </c>
      <c r="AV5" s="17"/>
      <c r="AW5" s="17"/>
      <c r="AX5" s="17"/>
      <c r="AY5" s="17"/>
      <c r="AZ5" s="22"/>
      <c r="BB5" s="21" t="s">
        <v>270</v>
      </c>
      <c r="BC5" s="17"/>
      <c r="BD5" s="17"/>
      <c r="BE5" s="17"/>
      <c r="BF5" s="17"/>
      <c r="BG5" s="22"/>
      <c r="BI5" s="21" t="s">
        <v>270</v>
      </c>
      <c r="BJ5" s="17"/>
      <c r="BK5" s="17"/>
      <c r="BL5" s="17"/>
      <c r="BM5" s="17"/>
      <c r="BN5" s="22"/>
      <c r="BP5" s="21" t="s">
        <v>270</v>
      </c>
      <c r="BQ5" s="17"/>
      <c r="BR5" s="17"/>
      <c r="BS5" s="17"/>
      <c r="BT5" s="17"/>
      <c r="BU5" s="22"/>
      <c r="BW5" s="21" t="s">
        <v>270</v>
      </c>
      <c r="BX5" s="17"/>
      <c r="BY5" s="17"/>
      <c r="BZ5" s="17"/>
      <c r="CA5" s="17"/>
      <c r="CB5" s="22"/>
      <c r="CD5" s="21" t="s">
        <v>270</v>
      </c>
      <c r="CE5" s="17"/>
      <c r="CF5" s="17"/>
      <c r="CG5" s="17"/>
      <c r="CH5" s="17"/>
      <c r="CI5" s="22"/>
      <c r="CL5" s="21" t="s">
        <v>270</v>
      </c>
      <c r="CM5" s="17"/>
      <c r="CN5" s="17"/>
      <c r="CO5" s="17"/>
      <c r="CP5" s="17"/>
      <c r="CQ5" s="22"/>
      <c r="CS5" s="21" t="s">
        <v>270</v>
      </c>
      <c r="CT5" s="17"/>
      <c r="CU5" s="17"/>
      <c r="CV5" s="17"/>
      <c r="CW5" s="17"/>
      <c r="CX5" s="22"/>
      <c r="CZ5" s="21" t="s">
        <v>270</v>
      </c>
      <c r="DA5" s="17"/>
      <c r="DB5" s="17"/>
      <c r="DC5" s="17"/>
      <c r="DD5" s="17"/>
      <c r="DE5" s="22"/>
    </row>
    <row r="6" spans="2:109" x14ac:dyDescent="0.2">
      <c r="B6" s="148" t="s">
        <v>555</v>
      </c>
      <c r="C6" s="149"/>
      <c r="D6" s="149"/>
      <c r="E6" s="149"/>
      <c r="F6" s="149"/>
      <c r="G6" s="150"/>
      <c r="J6" s="148" t="s">
        <v>555</v>
      </c>
      <c r="K6" s="149"/>
      <c r="L6" s="149"/>
      <c r="M6" s="149"/>
      <c r="N6" s="149"/>
      <c r="O6" s="150"/>
      <c r="R6" s="148" t="s">
        <v>555</v>
      </c>
      <c r="S6" s="149"/>
      <c r="T6" s="149"/>
      <c r="U6" s="149"/>
      <c r="V6" s="149"/>
      <c r="W6" s="150"/>
      <c r="Y6" s="148" t="s">
        <v>555</v>
      </c>
      <c r="Z6" s="149"/>
      <c r="AA6" s="149"/>
      <c r="AB6" s="149"/>
      <c r="AC6" s="149"/>
      <c r="AD6" s="150"/>
      <c r="AG6" s="148" t="s">
        <v>555</v>
      </c>
      <c r="AH6" s="149"/>
      <c r="AI6" s="149"/>
      <c r="AJ6" s="149"/>
      <c r="AK6" s="149"/>
      <c r="AL6" s="150"/>
      <c r="AN6" s="148" t="s">
        <v>555</v>
      </c>
      <c r="AO6" s="149"/>
      <c r="AP6" s="149"/>
      <c r="AQ6" s="149"/>
      <c r="AR6" s="149"/>
      <c r="AS6" s="150"/>
      <c r="AU6" s="148" t="s">
        <v>555</v>
      </c>
      <c r="AV6" s="149"/>
      <c r="AW6" s="149"/>
      <c r="AX6" s="149"/>
      <c r="AY6" s="149"/>
      <c r="AZ6" s="150"/>
      <c r="BB6" s="148" t="s">
        <v>555</v>
      </c>
      <c r="BC6" s="149"/>
      <c r="BD6" s="149"/>
      <c r="BE6" s="149"/>
      <c r="BF6" s="149"/>
      <c r="BG6" s="150"/>
      <c r="BI6" s="148" t="s">
        <v>555</v>
      </c>
      <c r="BJ6" s="149"/>
      <c r="BK6" s="149"/>
      <c r="BL6" s="149"/>
      <c r="BM6" s="149"/>
      <c r="BN6" s="150"/>
      <c r="BP6" s="148" t="s">
        <v>555</v>
      </c>
      <c r="BQ6" s="149"/>
      <c r="BR6" s="149"/>
      <c r="BS6" s="149"/>
      <c r="BT6" s="149"/>
      <c r="BU6" s="150"/>
      <c r="BW6" s="148" t="s">
        <v>555</v>
      </c>
      <c r="BX6" s="149"/>
      <c r="BY6" s="149"/>
      <c r="BZ6" s="149"/>
      <c r="CA6" s="149"/>
      <c r="CB6" s="150"/>
      <c r="CD6" s="148" t="s">
        <v>555</v>
      </c>
      <c r="CE6" s="149"/>
      <c r="CF6" s="149"/>
      <c r="CG6" s="149"/>
      <c r="CH6" s="149"/>
      <c r="CI6" s="150"/>
      <c r="CL6" s="148" t="s">
        <v>555</v>
      </c>
      <c r="CM6" s="149"/>
      <c r="CN6" s="149"/>
      <c r="CO6" s="149"/>
      <c r="CP6" s="149"/>
      <c r="CQ6" s="150"/>
      <c r="CS6" s="148" t="s">
        <v>555</v>
      </c>
      <c r="CT6" s="149"/>
      <c r="CU6" s="149"/>
      <c r="CV6" s="149"/>
      <c r="CW6" s="149"/>
      <c r="CX6" s="150"/>
      <c r="CZ6" s="148" t="s">
        <v>555</v>
      </c>
      <c r="DA6" s="149"/>
      <c r="DB6" s="149"/>
      <c r="DC6" s="149"/>
      <c r="DD6" s="149"/>
      <c r="DE6" s="150"/>
    </row>
    <row r="7" spans="2:109" ht="15" x14ac:dyDescent="0.25">
      <c r="B7" s="21"/>
      <c r="C7" s="18" t="s">
        <v>259</v>
      </c>
      <c r="D7" s="18" t="s">
        <v>260</v>
      </c>
      <c r="E7" s="18" t="s">
        <v>263</v>
      </c>
      <c r="F7" s="19" t="s">
        <v>261</v>
      </c>
      <c r="G7" s="20" t="s">
        <v>262</v>
      </c>
      <c r="J7" s="21"/>
      <c r="K7" s="18" t="s">
        <v>259</v>
      </c>
      <c r="L7" s="18" t="s">
        <v>260</v>
      </c>
      <c r="M7" s="18" t="s">
        <v>263</v>
      </c>
      <c r="N7" s="19" t="s">
        <v>261</v>
      </c>
      <c r="O7" s="20" t="s">
        <v>262</v>
      </c>
      <c r="R7" s="21"/>
      <c r="S7" s="18" t="s">
        <v>259</v>
      </c>
      <c r="T7" s="18" t="s">
        <v>260</v>
      </c>
      <c r="U7" s="18" t="s">
        <v>263</v>
      </c>
      <c r="V7" s="19" t="s">
        <v>261</v>
      </c>
      <c r="W7" s="20" t="s">
        <v>262</v>
      </c>
      <c r="Y7" s="21"/>
      <c r="Z7" s="18" t="s">
        <v>259</v>
      </c>
      <c r="AA7" s="18" t="s">
        <v>260</v>
      </c>
      <c r="AB7" s="18" t="s">
        <v>263</v>
      </c>
      <c r="AC7" s="19" t="s">
        <v>261</v>
      </c>
      <c r="AD7" s="20" t="s">
        <v>262</v>
      </c>
      <c r="AG7" s="21"/>
      <c r="AH7" s="18" t="s">
        <v>259</v>
      </c>
      <c r="AI7" s="18" t="s">
        <v>260</v>
      </c>
      <c r="AJ7" s="18" t="s">
        <v>263</v>
      </c>
      <c r="AK7" s="19" t="s">
        <v>261</v>
      </c>
      <c r="AL7" s="20" t="s">
        <v>262</v>
      </c>
      <c r="AN7" s="21"/>
      <c r="AO7" s="18" t="s">
        <v>259</v>
      </c>
      <c r="AP7" s="18" t="s">
        <v>260</v>
      </c>
      <c r="AQ7" s="18" t="s">
        <v>263</v>
      </c>
      <c r="AR7" s="19" t="s">
        <v>261</v>
      </c>
      <c r="AS7" s="20" t="s">
        <v>262</v>
      </c>
      <c r="AU7" s="21"/>
      <c r="AV7" s="18" t="s">
        <v>259</v>
      </c>
      <c r="AW7" s="18" t="s">
        <v>260</v>
      </c>
      <c r="AX7" s="18" t="s">
        <v>263</v>
      </c>
      <c r="AY7" s="19" t="s">
        <v>261</v>
      </c>
      <c r="AZ7" s="20" t="s">
        <v>262</v>
      </c>
      <c r="BB7" s="21"/>
      <c r="BC7" s="18" t="s">
        <v>259</v>
      </c>
      <c r="BD7" s="18" t="s">
        <v>260</v>
      </c>
      <c r="BE7" s="18" t="s">
        <v>263</v>
      </c>
      <c r="BF7" s="19" t="s">
        <v>261</v>
      </c>
      <c r="BG7" s="20" t="s">
        <v>262</v>
      </c>
      <c r="BI7" s="21"/>
      <c r="BJ7" s="18" t="s">
        <v>259</v>
      </c>
      <c r="BK7" s="18" t="s">
        <v>260</v>
      </c>
      <c r="BL7" s="18" t="s">
        <v>263</v>
      </c>
      <c r="BM7" s="19" t="s">
        <v>261</v>
      </c>
      <c r="BN7" s="20" t="s">
        <v>262</v>
      </c>
      <c r="BP7" s="21"/>
      <c r="BQ7" s="18" t="s">
        <v>259</v>
      </c>
      <c r="BR7" s="18" t="s">
        <v>260</v>
      </c>
      <c r="BS7" s="18" t="s">
        <v>263</v>
      </c>
      <c r="BT7" s="19" t="s">
        <v>261</v>
      </c>
      <c r="BU7" s="20" t="s">
        <v>262</v>
      </c>
      <c r="BW7" s="21"/>
      <c r="BX7" s="18" t="s">
        <v>259</v>
      </c>
      <c r="BY7" s="18" t="s">
        <v>260</v>
      </c>
      <c r="BZ7" s="18" t="s">
        <v>263</v>
      </c>
      <c r="CA7" s="19" t="s">
        <v>261</v>
      </c>
      <c r="CB7" s="20" t="s">
        <v>262</v>
      </c>
      <c r="CD7" s="21"/>
      <c r="CE7" s="18" t="s">
        <v>259</v>
      </c>
      <c r="CF7" s="18" t="s">
        <v>260</v>
      </c>
      <c r="CG7" s="18" t="s">
        <v>263</v>
      </c>
      <c r="CH7" s="19" t="s">
        <v>261</v>
      </c>
      <c r="CI7" s="20" t="s">
        <v>262</v>
      </c>
      <c r="CL7" s="21"/>
      <c r="CM7" s="18" t="s">
        <v>259</v>
      </c>
      <c r="CN7" s="18" t="s">
        <v>260</v>
      </c>
      <c r="CO7" s="18" t="s">
        <v>263</v>
      </c>
      <c r="CP7" s="19" t="s">
        <v>261</v>
      </c>
      <c r="CQ7" s="20" t="s">
        <v>262</v>
      </c>
      <c r="CS7" s="21"/>
      <c r="CT7" s="18" t="s">
        <v>259</v>
      </c>
      <c r="CU7" s="18" t="s">
        <v>260</v>
      </c>
      <c r="CV7" s="18" t="s">
        <v>263</v>
      </c>
      <c r="CW7" s="19" t="s">
        <v>261</v>
      </c>
      <c r="CX7" s="20" t="s">
        <v>262</v>
      </c>
      <c r="CZ7" s="21"/>
      <c r="DA7" s="18" t="s">
        <v>259</v>
      </c>
      <c r="DB7" s="18" t="s">
        <v>260</v>
      </c>
      <c r="DC7" s="18" t="s">
        <v>263</v>
      </c>
      <c r="DD7" s="19" t="s">
        <v>261</v>
      </c>
      <c r="DE7" s="20" t="s">
        <v>262</v>
      </c>
    </row>
    <row r="8" spans="2:109" x14ac:dyDescent="0.2">
      <c r="B8" s="21">
        <v>2</v>
      </c>
      <c r="C8" s="17">
        <v>-874.37969399999997</v>
      </c>
      <c r="D8" s="17"/>
      <c r="E8" s="17" t="s">
        <v>590</v>
      </c>
      <c r="F8" s="17">
        <f>0.828265/2</f>
        <v>0.41413250000000001</v>
      </c>
      <c r="G8" s="22">
        <f>C8+F8</f>
        <v>-873.96556149999992</v>
      </c>
      <c r="J8" s="21">
        <v>2</v>
      </c>
      <c r="K8" s="17">
        <v>-875.67782299999999</v>
      </c>
      <c r="L8" s="17"/>
      <c r="M8" s="17" t="s">
        <v>676</v>
      </c>
      <c r="N8" s="17">
        <f>0.885699/2</f>
        <v>0.44284950000000001</v>
      </c>
      <c r="O8" s="22">
        <f>K8+N8</f>
        <v>-875.23497350000002</v>
      </c>
      <c r="R8" s="21">
        <v>2</v>
      </c>
      <c r="S8" s="17">
        <v>-880.795705</v>
      </c>
      <c r="T8" s="17"/>
      <c r="U8" s="17" t="s">
        <v>679</v>
      </c>
      <c r="V8">
        <f>0.713265/2</f>
        <v>0.35663250000000002</v>
      </c>
      <c r="W8" s="22">
        <f>S8+V8</f>
        <v>-880.43907249999995</v>
      </c>
      <c r="Y8" s="21">
        <v>2</v>
      </c>
      <c r="Z8" s="17">
        <v>-876.43159800000001</v>
      </c>
      <c r="AA8" s="17"/>
      <c r="AB8" s="45" t="s">
        <v>682</v>
      </c>
      <c r="AC8" s="17">
        <f>0.754503/2</f>
        <v>0.37725150000000002</v>
      </c>
      <c r="AD8" s="22">
        <f>Z8+AC8</f>
        <v>-876.05434649999995</v>
      </c>
      <c r="AG8" s="21">
        <v>2</v>
      </c>
      <c r="AH8" s="17">
        <v>-878.85652000000005</v>
      </c>
      <c r="AI8" s="17"/>
      <c r="AJ8" s="123" t="s">
        <v>756</v>
      </c>
      <c r="AK8" s="17">
        <f>0.757342 /2</f>
        <v>0.37867099999999998</v>
      </c>
      <c r="AL8" s="22">
        <f>AH8+AK8</f>
        <v>-878.47784899999999</v>
      </c>
      <c r="AN8" s="21">
        <v>2</v>
      </c>
      <c r="AO8" s="17">
        <v>-877.17362900000001</v>
      </c>
      <c r="AP8" s="17"/>
      <c r="AQ8" s="17" t="s">
        <v>611</v>
      </c>
      <c r="AR8" s="17">
        <f>0.778738/2</f>
        <v>0.38936900000000002</v>
      </c>
      <c r="AS8" s="22">
        <f>AO8+AR8</f>
        <v>-876.78426000000002</v>
      </c>
      <c r="AU8" s="21">
        <v>2</v>
      </c>
      <c r="AV8" s="17">
        <v>-877.65208500000006</v>
      </c>
      <c r="AW8" s="17"/>
      <c r="AX8" s="17" t="s">
        <v>565</v>
      </c>
      <c r="AY8" s="17">
        <f>0.846345/2</f>
        <v>0.42317250000000001</v>
      </c>
      <c r="AZ8" s="22">
        <f>AV8+AY8</f>
        <v>-877.22891250000009</v>
      </c>
      <c r="BB8" s="21">
        <v>2</v>
      </c>
      <c r="BC8" s="17">
        <v>-879.10935199999994</v>
      </c>
      <c r="BD8" s="17"/>
      <c r="BE8" s="17" t="s">
        <v>604</v>
      </c>
      <c r="BF8" s="17">
        <f>0.710692/2</f>
        <v>0.355346</v>
      </c>
      <c r="BG8" s="22">
        <f>BC8+BF8</f>
        <v>-878.75400599999989</v>
      </c>
      <c r="BI8" s="21">
        <v>2</v>
      </c>
      <c r="BJ8" s="17">
        <v>-872.16145500000005</v>
      </c>
      <c r="BK8" s="17"/>
      <c r="BL8" s="17" t="s">
        <v>645</v>
      </c>
      <c r="BM8" s="17">
        <f>0.827573/2</f>
        <v>0.4137865</v>
      </c>
      <c r="BN8" s="22">
        <f>BJ8+BM8</f>
        <v>-871.74766850000003</v>
      </c>
      <c r="BP8" s="21">
        <v>2</v>
      </c>
      <c r="BQ8" s="17">
        <v>-877.188672</v>
      </c>
      <c r="BR8" s="17"/>
      <c r="BS8" s="17" t="s">
        <v>553</v>
      </c>
      <c r="BT8" s="17">
        <f>0.919696/2</f>
        <v>0.45984799999999998</v>
      </c>
      <c r="BU8" s="22">
        <f>BQ8+BT8</f>
        <v>-876.72882400000003</v>
      </c>
      <c r="BW8" s="21">
        <v>2</v>
      </c>
      <c r="BX8" s="17">
        <v>-878.92636200000004</v>
      </c>
      <c r="BY8" s="17"/>
      <c r="BZ8" s="17" t="s">
        <v>654</v>
      </c>
      <c r="CA8" s="17">
        <f>0.767791/2</f>
        <v>0.3838955</v>
      </c>
      <c r="CB8" s="22">
        <f>BX8+CA8</f>
        <v>-878.54246650000005</v>
      </c>
      <c r="CD8" s="21">
        <v>2</v>
      </c>
      <c r="CE8" s="17">
        <v>-880.62558100000001</v>
      </c>
      <c r="CF8" s="17"/>
      <c r="CG8" s="45" t="s">
        <v>663</v>
      </c>
      <c r="CH8" s="17">
        <f>0.699088/2</f>
        <v>0.34954400000000002</v>
      </c>
      <c r="CI8" s="22">
        <f>CE8+CH8</f>
        <v>-880.27603699999997</v>
      </c>
      <c r="CL8" s="21">
        <v>2</v>
      </c>
      <c r="CM8" s="17">
        <v>-875.80131200000005</v>
      </c>
      <c r="CN8" s="17"/>
      <c r="CO8" s="45" t="s">
        <v>610</v>
      </c>
      <c r="CP8" s="17">
        <f>0.903535/2</f>
        <v>0.45176749999999999</v>
      </c>
      <c r="CQ8" s="22">
        <f>CM8+CP8</f>
        <v>-875.34954450000009</v>
      </c>
      <c r="CS8" s="21">
        <v>2</v>
      </c>
      <c r="CT8" s="17">
        <v>-874.76657299999999</v>
      </c>
      <c r="CU8" s="17"/>
      <c r="CV8" s="17" t="s">
        <v>626</v>
      </c>
      <c r="CW8" s="17">
        <f>0.914686/2</f>
        <v>0.457343</v>
      </c>
      <c r="CX8" s="22">
        <f>CT8+CW8</f>
        <v>-874.30922999999996</v>
      </c>
      <c r="CZ8" s="21">
        <v>2</v>
      </c>
      <c r="DA8" s="17">
        <v>-868.52151100000003</v>
      </c>
      <c r="DB8" s="17"/>
      <c r="DC8" s="17" t="s">
        <v>633</v>
      </c>
      <c r="DD8" s="17">
        <f>0.903302/2</f>
        <v>0.45165100000000002</v>
      </c>
      <c r="DE8" s="22">
        <f>DA8+DD8</f>
        <v>-868.06986000000006</v>
      </c>
    </row>
    <row r="9" spans="2:109" x14ac:dyDescent="0.2">
      <c r="B9" s="21" t="s">
        <v>270</v>
      </c>
      <c r="C9" s="17"/>
      <c r="D9" s="17"/>
      <c r="E9" s="17"/>
      <c r="F9" s="17"/>
      <c r="G9" s="22"/>
      <c r="J9" s="21" t="s">
        <v>270</v>
      </c>
      <c r="K9" s="17"/>
      <c r="L9" s="17"/>
      <c r="M9" s="17"/>
      <c r="N9" s="17"/>
      <c r="O9" s="22"/>
      <c r="R9" s="21" t="s">
        <v>270</v>
      </c>
      <c r="S9" s="17"/>
      <c r="T9" s="17"/>
      <c r="U9" s="17"/>
      <c r="V9" s="17"/>
      <c r="W9" s="22"/>
      <c r="Y9" s="21" t="s">
        <v>270</v>
      </c>
      <c r="Z9" s="17"/>
      <c r="AA9" s="17"/>
      <c r="AB9" s="17"/>
      <c r="AC9" s="17"/>
      <c r="AD9" s="22"/>
      <c r="AG9" s="21" t="s">
        <v>270</v>
      </c>
      <c r="AH9" s="17"/>
      <c r="AI9" s="17"/>
      <c r="AJ9" s="17"/>
      <c r="AK9" s="17"/>
      <c r="AL9" s="22"/>
      <c r="AN9" s="21" t="s">
        <v>270</v>
      </c>
      <c r="AO9" s="17"/>
      <c r="AP9" s="17"/>
      <c r="AQ9" s="17"/>
      <c r="AR9" s="17"/>
      <c r="AS9" s="22"/>
      <c r="AU9" s="21" t="s">
        <v>270</v>
      </c>
      <c r="AV9" s="17"/>
      <c r="AW9" s="17"/>
      <c r="AX9" s="17"/>
      <c r="AY9" s="17"/>
      <c r="AZ9" s="22"/>
      <c r="BB9" s="21" t="s">
        <v>270</v>
      </c>
      <c r="BC9" s="17"/>
      <c r="BD9" s="17"/>
      <c r="BE9" s="17"/>
      <c r="BF9" s="17"/>
      <c r="BG9" s="22"/>
      <c r="BI9" s="21" t="s">
        <v>270</v>
      </c>
      <c r="BJ9" s="17"/>
      <c r="BK9" s="17"/>
      <c r="BL9" s="17"/>
      <c r="BM9" s="17"/>
      <c r="BN9" s="22"/>
      <c r="BP9" s="21" t="s">
        <v>270</v>
      </c>
      <c r="BQ9" s="17"/>
      <c r="BR9" s="17"/>
      <c r="BS9" s="17"/>
      <c r="BT9" s="17"/>
      <c r="BU9" s="22"/>
      <c r="BW9" s="21" t="s">
        <v>270</v>
      </c>
      <c r="BX9" s="17"/>
      <c r="BY9" s="17"/>
      <c r="BZ9" s="17"/>
      <c r="CA9" s="17"/>
      <c r="CB9" s="22"/>
      <c r="CD9" s="21" t="s">
        <v>270</v>
      </c>
      <c r="CE9" s="17"/>
      <c r="CF9" s="17"/>
      <c r="CG9" s="17"/>
      <c r="CH9" s="17"/>
      <c r="CI9" s="22"/>
      <c r="CL9" s="21" t="s">
        <v>270</v>
      </c>
      <c r="CM9" s="17"/>
      <c r="CN9" s="17"/>
      <c r="CO9" s="17"/>
      <c r="CP9" s="17"/>
      <c r="CQ9" s="22"/>
      <c r="CS9" s="21" t="s">
        <v>270</v>
      </c>
      <c r="CT9" s="17"/>
      <c r="CU9" s="17"/>
      <c r="CV9" s="17"/>
      <c r="CW9" s="17"/>
      <c r="CX9" s="22"/>
      <c r="CZ9" s="21" t="s">
        <v>270</v>
      </c>
      <c r="DA9" s="17"/>
      <c r="DB9" s="17"/>
      <c r="DC9" s="17"/>
      <c r="DD9" s="17"/>
      <c r="DE9" s="22"/>
    </row>
    <row r="10" spans="2:109" x14ac:dyDescent="0.2">
      <c r="B10" s="148" t="s">
        <v>556</v>
      </c>
      <c r="C10" s="149"/>
      <c r="D10" s="149"/>
      <c r="E10" s="149"/>
      <c r="F10" s="149"/>
      <c r="G10" s="150"/>
      <c r="J10" s="148" t="s">
        <v>556</v>
      </c>
      <c r="K10" s="149"/>
      <c r="L10" s="149"/>
      <c r="M10" s="149"/>
      <c r="N10" s="149"/>
      <c r="O10" s="150"/>
      <c r="R10" s="148" t="s">
        <v>556</v>
      </c>
      <c r="S10" s="149"/>
      <c r="T10" s="149"/>
      <c r="U10" s="149"/>
      <c r="V10" s="149"/>
      <c r="W10" s="150"/>
      <c r="Y10" s="148" t="s">
        <v>556</v>
      </c>
      <c r="Z10" s="149"/>
      <c r="AA10" s="149"/>
      <c r="AB10" s="149"/>
      <c r="AC10" s="149"/>
      <c r="AD10" s="150"/>
      <c r="AG10" s="148" t="s">
        <v>556</v>
      </c>
      <c r="AH10" s="149"/>
      <c r="AI10" s="149"/>
      <c r="AJ10" s="149"/>
      <c r="AK10" s="149"/>
      <c r="AL10" s="150"/>
      <c r="AN10" s="148" t="s">
        <v>556</v>
      </c>
      <c r="AO10" s="149"/>
      <c r="AP10" s="149"/>
      <c r="AQ10" s="149"/>
      <c r="AR10" s="149"/>
      <c r="AS10" s="150"/>
      <c r="AU10" s="148" t="s">
        <v>556</v>
      </c>
      <c r="AV10" s="149"/>
      <c r="AW10" s="149"/>
      <c r="AX10" s="149"/>
      <c r="AY10" s="149"/>
      <c r="AZ10" s="150"/>
      <c r="BB10" s="148" t="s">
        <v>556</v>
      </c>
      <c r="BC10" s="149"/>
      <c r="BD10" s="149"/>
      <c r="BE10" s="149"/>
      <c r="BF10" s="149"/>
      <c r="BG10" s="150"/>
      <c r="BI10" s="148" t="s">
        <v>556</v>
      </c>
      <c r="BJ10" s="149"/>
      <c r="BK10" s="149"/>
      <c r="BL10" s="149"/>
      <c r="BM10" s="149"/>
      <c r="BN10" s="150"/>
      <c r="BP10" s="148" t="s">
        <v>556</v>
      </c>
      <c r="BQ10" s="149"/>
      <c r="BR10" s="149"/>
      <c r="BS10" s="149"/>
      <c r="BT10" s="149"/>
      <c r="BU10" s="150"/>
      <c r="BW10" s="148" t="s">
        <v>556</v>
      </c>
      <c r="BX10" s="149"/>
      <c r="BY10" s="149"/>
      <c r="BZ10" s="149"/>
      <c r="CA10" s="149"/>
      <c r="CB10" s="150"/>
      <c r="CD10" s="148" t="s">
        <v>556</v>
      </c>
      <c r="CE10" s="149"/>
      <c r="CF10" s="149"/>
      <c r="CG10" s="149"/>
      <c r="CH10" s="149"/>
      <c r="CI10" s="150"/>
      <c r="CL10" s="148" t="s">
        <v>556</v>
      </c>
      <c r="CM10" s="149"/>
      <c r="CN10" s="149"/>
      <c r="CO10" s="149"/>
      <c r="CP10" s="149"/>
      <c r="CQ10" s="150"/>
      <c r="CS10" s="148" t="s">
        <v>556</v>
      </c>
      <c r="CT10" s="149"/>
      <c r="CU10" s="149"/>
      <c r="CV10" s="149"/>
      <c r="CW10" s="149"/>
      <c r="CX10" s="150"/>
      <c r="CZ10" s="148" t="s">
        <v>556</v>
      </c>
      <c r="DA10" s="149"/>
      <c r="DB10" s="149"/>
      <c r="DC10" s="149"/>
      <c r="DD10" s="149"/>
      <c r="DE10" s="150"/>
    </row>
    <row r="11" spans="2:109" ht="15" x14ac:dyDescent="0.25">
      <c r="B11" s="21"/>
      <c r="C11" s="18" t="s">
        <v>259</v>
      </c>
      <c r="D11" s="18" t="s">
        <v>260</v>
      </c>
      <c r="E11" s="18" t="s">
        <v>263</v>
      </c>
      <c r="F11" s="19" t="s">
        <v>261</v>
      </c>
      <c r="G11" s="20" t="s">
        <v>262</v>
      </c>
      <c r="J11" s="21"/>
      <c r="K11" s="18" t="s">
        <v>259</v>
      </c>
      <c r="L11" s="18" t="s">
        <v>260</v>
      </c>
      <c r="M11" s="18" t="s">
        <v>263</v>
      </c>
      <c r="N11" s="19" t="s">
        <v>261</v>
      </c>
      <c r="O11" s="20" t="s">
        <v>262</v>
      </c>
      <c r="R11" s="21"/>
      <c r="S11" s="18" t="s">
        <v>259</v>
      </c>
      <c r="T11" s="18" t="s">
        <v>260</v>
      </c>
      <c r="U11" s="18" t="s">
        <v>263</v>
      </c>
      <c r="V11" s="19" t="s">
        <v>261</v>
      </c>
      <c r="W11" s="20" t="s">
        <v>262</v>
      </c>
      <c r="Y11" s="21"/>
      <c r="Z11" s="18" t="s">
        <v>259</v>
      </c>
      <c r="AA11" s="18" t="s">
        <v>260</v>
      </c>
      <c r="AB11" s="18" t="s">
        <v>263</v>
      </c>
      <c r="AC11" s="19" t="s">
        <v>261</v>
      </c>
      <c r="AD11" s="20" t="s">
        <v>262</v>
      </c>
      <c r="AG11" s="21"/>
      <c r="AH11" s="18" t="s">
        <v>259</v>
      </c>
      <c r="AI11" s="18" t="s">
        <v>260</v>
      </c>
      <c r="AJ11" s="18" t="s">
        <v>263</v>
      </c>
      <c r="AK11" s="19" t="s">
        <v>261</v>
      </c>
      <c r="AL11" s="20" t="s">
        <v>262</v>
      </c>
      <c r="AN11" s="21"/>
      <c r="AO11" s="18" t="s">
        <v>259</v>
      </c>
      <c r="AP11" s="18" t="s">
        <v>260</v>
      </c>
      <c r="AQ11" s="18" t="s">
        <v>263</v>
      </c>
      <c r="AR11" s="19" t="s">
        <v>261</v>
      </c>
      <c r="AS11" s="20" t="s">
        <v>262</v>
      </c>
      <c r="AU11" s="21"/>
      <c r="AV11" s="18" t="s">
        <v>259</v>
      </c>
      <c r="AW11" s="18" t="s">
        <v>260</v>
      </c>
      <c r="AX11" s="18" t="s">
        <v>263</v>
      </c>
      <c r="AY11" s="19" t="s">
        <v>261</v>
      </c>
      <c r="AZ11" s="20" t="s">
        <v>262</v>
      </c>
      <c r="BB11" s="21"/>
      <c r="BC11" s="18" t="s">
        <v>259</v>
      </c>
      <c r="BD11" s="18" t="s">
        <v>260</v>
      </c>
      <c r="BE11" s="18" t="s">
        <v>263</v>
      </c>
      <c r="BF11" s="19" t="s">
        <v>261</v>
      </c>
      <c r="BG11" s="20" t="s">
        <v>262</v>
      </c>
      <c r="BI11" s="21"/>
      <c r="BJ11" s="18" t="s">
        <v>259</v>
      </c>
      <c r="BK11" s="18" t="s">
        <v>260</v>
      </c>
      <c r="BL11" s="18" t="s">
        <v>263</v>
      </c>
      <c r="BM11" s="19" t="s">
        <v>261</v>
      </c>
      <c r="BN11" s="20" t="s">
        <v>262</v>
      </c>
      <c r="BP11" s="21"/>
      <c r="BQ11" s="18" t="s">
        <v>259</v>
      </c>
      <c r="BR11" s="18" t="s">
        <v>260</v>
      </c>
      <c r="BS11" s="18" t="s">
        <v>263</v>
      </c>
      <c r="BT11" s="19" t="s">
        <v>261</v>
      </c>
      <c r="BU11" s="20" t="s">
        <v>262</v>
      </c>
      <c r="BW11" s="21"/>
      <c r="BX11" s="18" t="s">
        <v>259</v>
      </c>
      <c r="BY11" s="18" t="s">
        <v>260</v>
      </c>
      <c r="BZ11" s="18" t="s">
        <v>263</v>
      </c>
      <c r="CA11" s="19" t="s">
        <v>261</v>
      </c>
      <c r="CB11" s="20" t="s">
        <v>262</v>
      </c>
      <c r="CD11" s="21"/>
      <c r="CE11" s="18" t="s">
        <v>259</v>
      </c>
      <c r="CF11" s="18" t="s">
        <v>260</v>
      </c>
      <c r="CG11" s="18" t="s">
        <v>263</v>
      </c>
      <c r="CH11" s="19" t="s">
        <v>261</v>
      </c>
      <c r="CI11" s="20" t="s">
        <v>262</v>
      </c>
      <c r="CL11" s="21"/>
      <c r="CM11" s="18" t="s">
        <v>259</v>
      </c>
      <c r="CN11" s="18" t="s">
        <v>260</v>
      </c>
      <c r="CO11" s="18" t="s">
        <v>263</v>
      </c>
      <c r="CP11" s="19" t="s">
        <v>261</v>
      </c>
      <c r="CQ11" s="20" t="s">
        <v>262</v>
      </c>
      <c r="CS11" s="21"/>
      <c r="CT11" s="18" t="s">
        <v>259</v>
      </c>
      <c r="CU11" s="18" t="s">
        <v>260</v>
      </c>
      <c r="CV11" s="18" t="s">
        <v>263</v>
      </c>
      <c r="CW11" s="19" t="s">
        <v>261</v>
      </c>
      <c r="CX11" s="20" t="s">
        <v>262</v>
      </c>
      <c r="CZ11" s="21"/>
      <c r="DA11" s="18" t="s">
        <v>259</v>
      </c>
      <c r="DB11" s="18" t="s">
        <v>260</v>
      </c>
      <c r="DC11" s="18" t="s">
        <v>263</v>
      </c>
      <c r="DD11" s="19" t="s">
        <v>261</v>
      </c>
      <c r="DE11" s="20" t="s">
        <v>262</v>
      </c>
    </row>
    <row r="12" spans="2:109" x14ac:dyDescent="0.2">
      <c r="B12" s="21">
        <v>3</v>
      </c>
      <c r="C12" s="17">
        <v>-875.44336799999996</v>
      </c>
      <c r="D12" s="17"/>
      <c r="E12" s="72" t="s">
        <v>592</v>
      </c>
      <c r="F12" s="17">
        <f>0.850012/2</f>
        <v>0.42500599999999999</v>
      </c>
      <c r="G12" s="22">
        <f>C12+F12</f>
        <v>-875.01836199999991</v>
      </c>
      <c r="J12" s="21">
        <v>3</v>
      </c>
      <c r="K12" s="17">
        <v>-875.72943299999997</v>
      </c>
      <c r="L12" s="17"/>
      <c r="M12" s="17" t="s">
        <v>677</v>
      </c>
      <c r="N12" s="17">
        <f>0.87984/2</f>
        <v>0.43991999999999998</v>
      </c>
      <c r="O12" s="22">
        <f>K12+N12</f>
        <v>-875.28951299999994</v>
      </c>
      <c r="R12" s="21">
        <v>3</v>
      </c>
      <c r="S12" s="17">
        <v>-879.42777100000001</v>
      </c>
      <c r="T12" s="17"/>
      <c r="U12" s="1" t="s">
        <v>597</v>
      </c>
      <c r="V12" s="17">
        <f>0.725121/2</f>
        <v>0.36256050000000001</v>
      </c>
      <c r="W12" s="22">
        <f>S12+V12</f>
        <v>-879.06521050000003</v>
      </c>
      <c r="Y12" s="21">
        <v>3</v>
      </c>
      <c r="Z12" s="17">
        <v>-875.75013300000001</v>
      </c>
      <c r="AA12" s="17"/>
      <c r="AB12" s="72" t="s">
        <v>586</v>
      </c>
      <c r="AC12" s="17">
        <f>0.752047/2</f>
        <v>0.37602350000000001</v>
      </c>
      <c r="AD12" s="22">
        <f>Z12+AC12</f>
        <v>-875.37410950000003</v>
      </c>
      <c r="AG12" s="21">
        <v>3</v>
      </c>
      <c r="AH12" s="17">
        <v>-877.56891800000005</v>
      </c>
      <c r="AI12" s="17"/>
      <c r="AJ12" s="17" t="s">
        <v>851</v>
      </c>
      <c r="AK12" s="17">
        <f>0.794561/2</f>
        <v>0.39728049999999998</v>
      </c>
      <c r="AL12" s="22">
        <f>AH12+AK12</f>
        <v>-877.17163750000009</v>
      </c>
      <c r="AN12" s="21">
        <v>3</v>
      </c>
      <c r="AO12" s="17">
        <v>-876.60886900000003</v>
      </c>
      <c r="AP12" s="17"/>
      <c r="AQ12" s="17" t="s">
        <v>671</v>
      </c>
      <c r="AR12" s="17">
        <f>0.791929/2</f>
        <v>0.3959645</v>
      </c>
      <c r="AS12" s="22">
        <f>AO12+AR12</f>
        <v>-876.21290450000004</v>
      </c>
      <c r="AU12" s="21">
        <v>3</v>
      </c>
      <c r="AV12" s="17">
        <v>-877.29431299999999</v>
      </c>
      <c r="AW12" s="17"/>
      <c r="AX12" s="72" t="s">
        <v>566</v>
      </c>
      <c r="AY12" s="17">
        <f>0.950662/2</f>
        <v>0.475331</v>
      </c>
      <c r="AZ12" s="22">
        <f>AV12+AY12</f>
        <v>-876.81898200000001</v>
      </c>
      <c r="BB12" s="21">
        <v>3</v>
      </c>
      <c r="BC12" s="17">
        <v>-877.85983399999998</v>
      </c>
      <c r="BD12" s="17"/>
      <c r="BE12" s="72" t="s">
        <v>684</v>
      </c>
      <c r="BF12" s="17">
        <f>0.783378/2</f>
        <v>0.39168900000000001</v>
      </c>
      <c r="BG12" s="22">
        <f>BC12+BF12</f>
        <v>-877.46814499999994</v>
      </c>
      <c r="BI12" s="21">
        <v>3</v>
      </c>
      <c r="BJ12" s="17">
        <v>-872.16253099999994</v>
      </c>
      <c r="BK12" s="17"/>
      <c r="BL12" s="72" t="s">
        <v>648</v>
      </c>
      <c r="BM12" s="17">
        <f>0.748387/2</f>
        <v>0.37419350000000001</v>
      </c>
      <c r="BN12" s="22">
        <f>BJ12+BM12</f>
        <v>-871.7883374999999</v>
      </c>
      <c r="BP12" s="21">
        <v>3</v>
      </c>
      <c r="BQ12" s="17">
        <v>-876.91867500000001</v>
      </c>
      <c r="BR12" s="17"/>
      <c r="BS12" s="72" t="s">
        <v>562</v>
      </c>
      <c r="BT12" s="17">
        <f>0.871308/2</f>
        <v>0.43565399999999999</v>
      </c>
      <c r="BU12" s="22">
        <f>BQ12+BT12</f>
        <v>-876.48302100000001</v>
      </c>
      <c r="BW12" s="21">
        <v>3</v>
      </c>
      <c r="BX12" s="17">
        <v>-877.668136</v>
      </c>
      <c r="BY12" s="17"/>
      <c r="BZ12" s="72" t="s">
        <v>660</v>
      </c>
      <c r="CA12" s="17">
        <f>0.195549/2</f>
        <v>9.77745E-2</v>
      </c>
      <c r="CB12" s="22">
        <f>BX12+CA12</f>
        <v>-877.57036149999999</v>
      </c>
      <c r="CD12" s="21">
        <v>3</v>
      </c>
      <c r="CE12" s="17">
        <v>-879.18060400000002</v>
      </c>
      <c r="CF12" s="17"/>
      <c r="CG12" s="72" t="s">
        <v>670</v>
      </c>
      <c r="CH12" s="17">
        <f>0.741139/2</f>
        <v>0.3705695</v>
      </c>
      <c r="CI12" s="22">
        <f>CE12+CH12</f>
        <v>-878.81003450000003</v>
      </c>
      <c r="CL12" s="21">
        <v>3</v>
      </c>
      <c r="CM12" s="17">
        <v>-875.14352799999995</v>
      </c>
      <c r="CN12" s="17"/>
      <c r="CO12" s="72" t="s">
        <v>664</v>
      </c>
      <c r="CP12" s="17">
        <f>0.941579/2</f>
        <v>0.47078950000000003</v>
      </c>
      <c r="CQ12" s="22">
        <f>CM12+CP12</f>
        <v>-874.67273849999992</v>
      </c>
      <c r="CS12" s="21">
        <v>3</v>
      </c>
      <c r="CT12" s="17">
        <v>-879.75574600000004</v>
      </c>
      <c r="CU12" s="17"/>
      <c r="CV12" s="72" t="s">
        <v>631</v>
      </c>
      <c r="CW12" s="17">
        <f>1.080119/2</f>
        <v>0.54005950000000003</v>
      </c>
      <c r="CX12" s="22">
        <f>CT12+CW12</f>
        <v>-879.21568650000006</v>
      </c>
      <c r="CZ12" s="21">
        <v>3</v>
      </c>
      <c r="DA12" s="17">
        <v>-868.36106500000005</v>
      </c>
      <c r="DB12" s="17"/>
      <c r="DC12" s="72" t="s">
        <v>637</v>
      </c>
      <c r="DD12" s="17">
        <f>0.89763/2</f>
        <v>0.44881500000000002</v>
      </c>
      <c r="DE12" s="22">
        <f>DA12+DD12</f>
        <v>-867.91225000000009</v>
      </c>
    </row>
    <row r="13" spans="2:109" x14ac:dyDescent="0.2">
      <c r="B13" s="21" t="s">
        <v>270</v>
      </c>
      <c r="C13" s="17"/>
      <c r="D13" s="17"/>
      <c r="E13" s="17"/>
      <c r="F13" s="17"/>
      <c r="G13" s="22"/>
      <c r="J13" s="21" t="s">
        <v>270</v>
      </c>
      <c r="K13" s="17"/>
      <c r="L13" s="17"/>
      <c r="M13" s="17"/>
      <c r="N13" s="17"/>
      <c r="O13" s="22"/>
      <c r="R13" s="21" t="s">
        <v>270</v>
      </c>
      <c r="S13" s="17"/>
      <c r="T13" s="17"/>
      <c r="U13" s="17"/>
      <c r="V13" s="17"/>
      <c r="W13" s="22"/>
      <c r="Y13" s="21" t="s">
        <v>270</v>
      </c>
      <c r="Z13" s="17"/>
      <c r="AA13" s="17"/>
      <c r="AB13" s="17"/>
      <c r="AC13" s="17"/>
      <c r="AD13" s="22"/>
      <c r="AG13" s="21" t="s">
        <v>270</v>
      </c>
      <c r="AH13" s="17"/>
      <c r="AI13" s="17"/>
      <c r="AJ13" s="17"/>
      <c r="AK13" s="17"/>
      <c r="AL13" s="22"/>
      <c r="AN13" s="21" t="s">
        <v>270</v>
      </c>
      <c r="AO13" s="17"/>
      <c r="AP13" s="17"/>
      <c r="AQ13" s="17"/>
      <c r="AR13" s="17"/>
      <c r="AS13" s="22"/>
      <c r="AU13" s="21" t="s">
        <v>270</v>
      </c>
      <c r="AV13" s="17"/>
      <c r="AW13" s="17"/>
      <c r="AX13" s="17"/>
      <c r="AY13" s="17"/>
      <c r="AZ13" s="22"/>
      <c r="BB13" s="21" t="s">
        <v>270</v>
      </c>
      <c r="BC13" s="17"/>
      <c r="BD13" s="17"/>
      <c r="BE13" s="17"/>
      <c r="BF13" s="17"/>
      <c r="BG13" s="22"/>
      <c r="BI13" s="21" t="s">
        <v>270</v>
      </c>
      <c r="BJ13" s="17"/>
      <c r="BK13" s="17"/>
      <c r="BL13" s="17"/>
      <c r="BM13" s="17"/>
      <c r="BN13" s="22"/>
      <c r="BP13" s="21" t="s">
        <v>270</v>
      </c>
      <c r="BQ13" s="17"/>
      <c r="BR13" s="17"/>
      <c r="BS13" s="17"/>
      <c r="BT13" s="17"/>
      <c r="BU13" s="22"/>
      <c r="BW13" s="21" t="s">
        <v>270</v>
      </c>
      <c r="BX13" s="17"/>
      <c r="BY13" s="17"/>
      <c r="BZ13" s="17"/>
      <c r="CA13" s="17"/>
      <c r="CB13" s="22"/>
      <c r="CD13" s="21" t="s">
        <v>270</v>
      </c>
      <c r="CE13" s="17"/>
      <c r="CF13" s="17"/>
      <c r="CG13" s="17"/>
      <c r="CH13" s="17"/>
      <c r="CI13" s="22"/>
      <c r="CL13" s="21" t="s">
        <v>270</v>
      </c>
      <c r="CM13" s="17"/>
      <c r="CN13" s="17"/>
      <c r="CO13" s="17"/>
      <c r="CP13" s="17"/>
      <c r="CQ13" s="22"/>
      <c r="CS13" s="21" t="s">
        <v>270</v>
      </c>
      <c r="CT13" s="17"/>
      <c r="CU13" s="17"/>
      <c r="CV13" s="17"/>
      <c r="CW13" s="17"/>
      <c r="CX13" s="22"/>
      <c r="CZ13" s="21" t="s">
        <v>270</v>
      </c>
      <c r="DA13" s="17"/>
      <c r="DB13" s="17"/>
      <c r="DC13" s="17"/>
      <c r="DD13" s="17"/>
      <c r="DE13" s="22"/>
    </row>
    <row r="14" spans="2:109" x14ac:dyDescent="0.2">
      <c r="B14" s="148" t="s">
        <v>525</v>
      </c>
      <c r="C14" s="149"/>
      <c r="D14" s="149"/>
      <c r="E14" s="149"/>
      <c r="F14" s="149"/>
      <c r="G14" s="150"/>
      <c r="J14" s="148" t="s">
        <v>525</v>
      </c>
      <c r="K14" s="149"/>
      <c r="L14" s="149"/>
      <c r="M14" s="149"/>
      <c r="N14" s="149"/>
      <c r="O14" s="150"/>
      <c r="R14" s="148" t="s">
        <v>525</v>
      </c>
      <c r="S14" s="149"/>
      <c r="T14" s="149"/>
      <c r="U14" s="149"/>
      <c r="V14" s="149"/>
      <c r="W14" s="150"/>
      <c r="Y14" s="148" t="s">
        <v>525</v>
      </c>
      <c r="Z14" s="149"/>
      <c r="AA14" s="149"/>
      <c r="AB14" s="149"/>
      <c r="AC14" s="149"/>
      <c r="AD14" s="150"/>
      <c r="AG14" s="148" t="s">
        <v>525</v>
      </c>
      <c r="AH14" s="149"/>
      <c r="AI14" s="149"/>
      <c r="AJ14" s="149"/>
      <c r="AK14" s="149"/>
      <c r="AL14" s="150"/>
      <c r="AN14" s="148" t="s">
        <v>525</v>
      </c>
      <c r="AO14" s="149"/>
      <c r="AP14" s="149"/>
      <c r="AQ14" s="149"/>
      <c r="AR14" s="149"/>
      <c r="AS14" s="150"/>
      <c r="AU14" s="148" t="s">
        <v>525</v>
      </c>
      <c r="AV14" s="149"/>
      <c r="AW14" s="149"/>
      <c r="AX14" s="149"/>
      <c r="AY14" s="149"/>
      <c r="AZ14" s="150"/>
      <c r="BB14" s="148" t="s">
        <v>525</v>
      </c>
      <c r="BC14" s="149"/>
      <c r="BD14" s="149"/>
      <c r="BE14" s="149"/>
      <c r="BF14" s="149"/>
      <c r="BG14" s="150"/>
      <c r="BI14" s="148" t="s">
        <v>525</v>
      </c>
      <c r="BJ14" s="149"/>
      <c r="BK14" s="149"/>
      <c r="BL14" s="149"/>
      <c r="BM14" s="149"/>
      <c r="BN14" s="150"/>
      <c r="BP14" s="148" t="s">
        <v>525</v>
      </c>
      <c r="BQ14" s="149"/>
      <c r="BR14" s="149"/>
      <c r="BS14" s="149"/>
      <c r="BT14" s="149"/>
      <c r="BU14" s="150"/>
      <c r="BW14" s="148" t="s">
        <v>525</v>
      </c>
      <c r="BX14" s="149"/>
      <c r="BY14" s="149"/>
      <c r="BZ14" s="149"/>
      <c r="CA14" s="149"/>
      <c r="CB14" s="150"/>
      <c r="CD14" s="148" t="s">
        <v>525</v>
      </c>
      <c r="CE14" s="149"/>
      <c r="CF14" s="149"/>
      <c r="CG14" s="149"/>
      <c r="CH14" s="149"/>
      <c r="CI14" s="150"/>
      <c r="CL14" s="148" t="s">
        <v>525</v>
      </c>
      <c r="CM14" s="149"/>
      <c r="CN14" s="149"/>
      <c r="CO14" s="149"/>
      <c r="CP14" s="149"/>
      <c r="CQ14" s="150"/>
      <c r="CS14" s="148" t="s">
        <v>525</v>
      </c>
      <c r="CT14" s="149"/>
      <c r="CU14" s="149"/>
      <c r="CV14" s="149"/>
      <c r="CW14" s="149"/>
      <c r="CX14" s="150"/>
      <c r="CZ14" s="148" t="s">
        <v>525</v>
      </c>
      <c r="DA14" s="149"/>
      <c r="DB14" s="149"/>
      <c r="DC14" s="149"/>
      <c r="DD14" s="149"/>
      <c r="DE14" s="150"/>
    </row>
    <row r="15" spans="2:109" ht="15" x14ac:dyDescent="0.25">
      <c r="B15" s="21" t="s">
        <v>267</v>
      </c>
      <c r="C15" s="18" t="s">
        <v>259</v>
      </c>
      <c r="D15" s="18" t="s">
        <v>260</v>
      </c>
      <c r="E15" s="18" t="s">
        <v>263</v>
      </c>
      <c r="F15" s="19" t="s">
        <v>261</v>
      </c>
      <c r="G15" s="20" t="s">
        <v>262</v>
      </c>
      <c r="J15" s="21" t="s">
        <v>267</v>
      </c>
      <c r="K15" s="18" t="s">
        <v>259</v>
      </c>
      <c r="L15" s="18" t="s">
        <v>260</v>
      </c>
      <c r="M15" s="18" t="s">
        <v>263</v>
      </c>
      <c r="N15" s="19" t="s">
        <v>261</v>
      </c>
      <c r="O15" s="20" t="s">
        <v>262</v>
      </c>
      <c r="R15" s="21" t="s">
        <v>267</v>
      </c>
      <c r="S15" s="18" t="s">
        <v>259</v>
      </c>
      <c r="T15" s="18" t="s">
        <v>260</v>
      </c>
      <c r="U15" s="18" t="s">
        <v>263</v>
      </c>
      <c r="V15" s="19" t="s">
        <v>261</v>
      </c>
      <c r="W15" s="20" t="s">
        <v>262</v>
      </c>
      <c r="Y15" s="21" t="s">
        <v>267</v>
      </c>
      <c r="Z15" s="18" t="s">
        <v>259</v>
      </c>
      <c r="AA15" s="18" t="s">
        <v>260</v>
      </c>
      <c r="AB15" s="18" t="s">
        <v>263</v>
      </c>
      <c r="AC15" s="19" t="s">
        <v>261</v>
      </c>
      <c r="AD15" s="20" t="s">
        <v>262</v>
      </c>
      <c r="AG15" s="21" t="s">
        <v>267</v>
      </c>
      <c r="AH15" s="18" t="s">
        <v>259</v>
      </c>
      <c r="AI15" s="18" t="s">
        <v>260</v>
      </c>
      <c r="AJ15" s="18" t="s">
        <v>263</v>
      </c>
      <c r="AK15" s="19" t="s">
        <v>261</v>
      </c>
      <c r="AL15" s="20" t="s">
        <v>262</v>
      </c>
      <c r="AN15" s="21" t="s">
        <v>267</v>
      </c>
      <c r="AO15" s="18" t="s">
        <v>259</v>
      </c>
      <c r="AP15" s="18" t="s">
        <v>260</v>
      </c>
      <c r="AQ15" s="18" t="s">
        <v>263</v>
      </c>
      <c r="AR15" s="19" t="s">
        <v>261</v>
      </c>
      <c r="AS15" s="20" t="s">
        <v>262</v>
      </c>
      <c r="AU15" s="21" t="s">
        <v>267</v>
      </c>
      <c r="AV15" s="18" t="s">
        <v>259</v>
      </c>
      <c r="AW15" s="18" t="s">
        <v>260</v>
      </c>
      <c r="AX15" s="18" t="s">
        <v>263</v>
      </c>
      <c r="AY15" s="19" t="s">
        <v>261</v>
      </c>
      <c r="AZ15" s="20" t="s">
        <v>262</v>
      </c>
      <c r="BB15" s="21" t="s">
        <v>267</v>
      </c>
      <c r="BC15" s="18" t="s">
        <v>259</v>
      </c>
      <c r="BD15" s="18" t="s">
        <v>260</v>
      </c>
      <c r="BE15" s="18" t="s">
        <v>263</v>
      </c>
      <c r="BF15" s="19" t="s">
        <v>261</v>
      </c>
      <c r="BG15" s="20" t="s">
        <v>262</v>
      </c>
      <c r="BI15" s="21" t="s">
        <v>267</v>
      </c>
      <c r="BJ15" s="18" t="s">
        <v>259</v>
      </c>
      <c r="BK15" s="18" t="s">
        <v>260</v>
      </c>
      <c r="BL15" s="18" t="s">
        <v>263</v>
      </c>
      <c r="BM15" s="19" t="s">
        <v>261</v>
      </c>
      <c r="BN15" s="20" t="s">
        <v>262</v>
      </c>
      <c r="BP15" s="21" t="s">
        <v>267</v>
      </c>
      <c r="BQ15" s="18" t="s">
        <v>259</v>
      </c>
      <c r="BR15" s="18" t="s">
        <v>260</v>
      </c>
      <c r="BS15" s="18" t="s">
        <v>263</v>
      </c>
      <c r="BT15" s="19" t="s">
        <v>261</v>
      </c>
      <c r="BU15" s="20" t="s">
        <v>262</v>
      </c>
      <c r="BW15" s="21" t="s">
        <v>267</v>
      </c>
      <c r="BX15" s="18" t="s">
        <v>259</v>
      </c>
      <c r="BY15" s="18" t="s">
        <v>260</v>
      </c>
      <c r="BZ15" s="18" t="s">
        <v>263</v>
      </c>
      <c r="CA15" s="19" t="s">
        <v>261</v>
      </c>
      <c r="CB15" s="20" t="s">
        <v>262</v>
      </c>
      <c r="CD15" s="21" t="s">
        <v>267</v>
      </c>
      <c r="CE15" s="18" t="s">
        <v>259</v>
      </c>
      <c r="CF15" s="18" t="s">
        <v>260</v>
      </c>
      <c r="CG15" s="18" t="s">
        <v>263</v>
      </c>
      <c r="CH15" s="19" t="s">
        <v>261</v>
      </c>
      <c r="CI15" s="20" t="s">
        <v>262</v>
      </c>
      <c r="CL15" s="21" t="s">
        <v>267</v>
      </c>
      <c r="CM15" s="18" t="s">
        <v>259</v>
      </c>
      <c r="CN15" s="18" t="s">
        <v>260</v>
      </c>
      <c r="CO15" s="18" t="s">
        <v>263</v>
      </c>
      <c r="CP15" s="19" t="s">
        <v>261</v>
      </c>
      <c r="CQ15" s="20" t="s">
        <v>262</v>
      </c>
      <c r="CS15" s="21" t="s">
        <v>267</v>
      </c>
      <c r="CT15" s="18" t="s">
        <v>259</v>
      </c>
      <c r="CU15" s="18" t="s">
        <v>260</v>
      </c>
      <c r="CV15" s="18" t="s">
        <v>263</v>
      </c>
      <c r="CW15" s="19" t="s">
        <v>261</v>
      </c>
      <c r="CX15" s="20" t="s">
        <v>262</v>
      </c>
      <c r="CZ15" s="21" t="s">
        <v>267</v>
      </c>
      <c r="DA15" s="18" t="s">
        <v>259</v>
      </c>
      <c r="DB15" s="18" t="s">
        <v>260</v>
      </c>
      <c r="DC15" s="18" t="s">
        <v>263</v>
      </c>
      <c r="DD15" s="19" t="s">
        <v>261</v>
      </c>
      <c r="DE15" s="20" t="s">
        <v>262</v>
      </c>
    </row>
    <row r="16" spans="2:109" x14ac:dyDescent="0.2">
      <c r="B16" s="21">
        <v>4</v>
      </c>
      <c r="C16" s="17">
        <v>-884.19388800000002</v>
      </c>
      <c r="D16" s="17"/>
      <c r="E16" s="17" t="s">
        <v>589</v>
      </c>
      <c r="F16" s="17">
        <f>1.177308/2</f>
        <v>0.58865400000000001</v>
      </c>
      <c r="G16" s="22">
        <f>C16+F16</f>
        <v>-883.605234</v>
      </c>
      <c r="J16" s="21">
        <v>4</v>
      </c>
      <c r="K16" s="17">
        <v>-886.48388899999998</v>
      </c>
      <c r="L16" s="17"/>
      <c r="M16" s="45" t="s">
        <v>638</v>
      </c>
      <c r="N16" s="17">
        <f>1.223922/2</f>
        <v>0.61196099999999998</v>
      </c>
      <c r="O16" s="22">
        <f>K16+N16</f>
        <v>-885.87192800000003</v>
      </c>
      <c r="R16" s="21">
        <v>4</v>
      </c>
      <c r="S16" s="17">
        <v>-892.50415999999996</v>
      </c>
      <c r="T16" s="17"/>
      <c r="U16" s="17" t="s">
        <v>599</v>
      </c>
      <c r="V16" s="17">
        <f>0.818313/2</f>
        <v>0.40915649999999998</v>
      </c>
      <c r="W16" s="22">
        <f>S16+V16</f>
        <v>-892.09500349999996</v>
      </c>
      <c r="Y16" s="21">
        <v>4</v>
      </c>
      <c r="Z16" s="17">
        <v>-888.82943299999999</v>
      </c>
      <c r="AA16" s="17"/>
      <c r="AB16" s="17" t="s">
        <v>581</v>
      </c>
      <c r="AC16" s="17">
        <f>0.978727/2</f>
        <v>0.48936350000000001</v>
      </c>
      <c r="AD16" s="22">
        <f>Z16+AC16</f>
        <v>-888.34006950000003</v>
      </c>
      <c r="AG16" s="21">
        <v>4</v>
      </c>
      <c r="AH16" s="17">
        <v>-892.28672600000004</v>
      </c>
      <c r="AI16" s="17"/>
      <c r="AJ16" s="17" t="s">
        <v>852</v>
      </c>
      <c r="AK16" s="17">
        <f>1.151279/2</f>
        <v>0.57563949999999997</v>
      </c>
      <c r="AL16" s="22">
        <f>AH16+AK16</f>
        <v>-891.71108650000008</v>
      </c>
      <c r="AN16" s="21">
        <v>4</v>
      </c>
      <c r="AO16" s="17">
        <v>-889.73794499999997</v>
      </c>
      <c r="AP16" s="17"/>
      <c r="AQ16" s="17" t="s">
        <v>612</v>
      </c>
      <c r="AR16" s="17">
        <v>1.046068</v>
      </c>
      <c r="AS16" s="22">
        <f>AO16+AR16</f>
        <v>-888.69187699999998</v>
      </c>
      <c r="AU16" s="21">
        <v>4</v>
      </c>
      <c r="AV16" s="17">
        <v>-890.09227999999996</v>
      </c>
      <c r="AW16" s="17"/>
      <c r="AX16" s="17" t="s">
        <v>567</v>
      </c>
      <c r="AY16" s="17">
        <f>1.197531/2</f>
        <v>0.59876549999999995</v>
      </c>
      <c r="AZ16" s="22">
        <f>AV16+AY16</f>
        <v>-889.49351449999995</v>
      </c>
      <c r="BB16" s="21">
        <v>4</v>
      </c>
      <c r="BC16" s="17">
        <v>-890.74811499999998</v>
      </c>
      <c r="BD16" s="17"/>
      <c r="BE16" s="17" t="s">
        <v>685</v>
      </c>
      <c r="BF16" s="17">
        <f>0.875168/2</f>
        <v>0.43758399999999997</v>
      </c>
      <c r="BG16" s="22">
        <f>BC16+BF16</f>
        <v>-890.31053099999997</v>
      </c>
      <c r="BI16" s="21">
        <v>4</v>
      </c>
      <c r="BJ16" s="17">
        <v>-881.63357099999996</v>
      </c>
      <c r="BK16" s="17"/>
      <c r="BL16" s="17" t="s">
        <v>644</v>
      </c>
      <c r="BM16" s="17">
        <f>0.987835/2</f>
        <v>0.49391750000000001</v>
      </c>
      <c r="BN16" s="22">
        <f>BJ16+BM16</f>
        <v>-881.13965350000001</v>
      </c>
      <c r="BP16" s="21">
        <v>4</v>
      </c>
      <c r="BQ16" s="17">
        <v>-888.24981700000001</v>
      </c>
      <c r="BR16" s="17"/>
      <c r="BS16" s="17" t="s">
        <v>559</v>
      </c>
      <c r="BT16" s="17">
        <f>1.121408/2</f>
        <v>0.56070399999999998</v>
      </c>
      <c r="BU16" s="22">
        <f>BQ16+BT16</f>
        <v>-887.68911300000002</v>
      </c>
      <c r="BW16" s="21">
        <v>4</v>
      </c>
      <c r="BX16" s="17">
        <v>-891.89929500000005</v>
      </c>
      <c r="BY16" s="17"/>
      <c r="BZ16" s="17" t="s">
        <v>653</v>
      </c>
      <c r="CA16" s="17">
        <f>1.040508/2</f>
        <v>0.52025399999999999</v>
      </c>
      <c r="CB16" s="22">
        <f>BX16+CA16</f>
        <v>-891.37904100000003</v>
      </c>
      <c r="CD16" s="21">
        <v>4</v>
      </c>
      <c r="CE16" s="17">
        <v>-894.27846999999997</v>
      </c>
      <c r="CF16" s="17"/>
      <c r="CG16" s="17" t="s">
        <v>662</v>
      </c>
      <c r="CH16" s="17">
        <f>1.105577/2</f>
        <v>0.55278850000000002</v>
      </c>
      <c r="CI16" s="22">
        <f>CE16+CH16</f>
        <v>-893.72568149999995</v>
      </c>
      <c r="CL16" s="21">
        <v>4</v>
      </c>
      <c r="CM16" s="45">
        <v>-887.34097799999995</v>
      </c>
      <c r="CN16" s="17"/>
      <c r="CO16" s="45" t="s">
        <v>674</v>
      </c>
      <c r="CP16" s="17">
        <f>1.215072/2</f>
        <v>0.60753599999999996</v>
      </c>
      <c r="CQ16" s="22">
        <f>CM16+CP16</f>
        <v>-886.73344199999997</v>
      </c>
      <c r="CS16" s="21">
        <v>4</v>
      </c>
      <c r="CT16" s="17">
        <v>-887.52278699999999</v>
      </c>
      <c r="CU16" s="17"/>
      <c r="CV16" s="17" t="s">
        <v>624</v>
      </c>
      <c r="CW16" s="17">
        <f>1.01116/2</f>
        <v>0.50558000000000003</v>
      </c>
      <c r="CX16" s="22">
        <f>CT16+CW16</f>
        <v>-887.01720699999998</v>
      </c>
      <c r="CZ16" s="21">
        <v>4</v>
      </c>
      <c r="DA16" s="17">
        <v>-877.71476500000006</v>
      </c>
      <c r="DB16" s="17"/>
      <c r="DC16" s="17" t="s">
        <v>719</v>
      </c>
      <c r="DD16" s="17">
        <f>1.142745/2</f>
        <v>0.57137249999999995</v>
      </c>
      <c r="DE16" s="22">
        <f>DD16+DA16</f>
        <v>-877.1433925</v>
      </c>
    </row>
    <row r="17" spans="2:109" x14ac:dyDescent="0.2">
      <c r="B17" s="21" t="s">
        <v>270</v>
      </c>
      <c r="C17" s="17"/>
      <c r="D17" s="17"/>
      <c r="E17" s="17"/>
      <c r="F17" s="17"/>
      <c r="G17" s="22"/>
      <c r="J17" s="21" t="s">
        <v>270</v>
      </c>
      <c r="K17" s="17"/>
      <c r="L17" s="17"/>
      <c r="M17" s="17"/>
      <c r="N17" s="17"/>
      <c r="O17" s="22"/>
      <c r="R17" s="21" t="s">
        <v>270</v>
      </c>
      <c r="S17" s="17"/>
      <c r="T17" s="17"/>
      <c r="U17" s="17"/>
      <c r="V17" s="17"/>
      <c r="W17" s="22"/>
      <c r="Y17" s="21" t="s">
        <v>270</v>
      </c>
      <c r="Z17" s="17"/>
      <c r="AA17" s="17"/>
      <c r="AB17" s="17"/>
      <c r="AC17" s="17"/>
      <c r="AD17" s="22"/>
      <c r="AG17" s="21" t="s">
        <v>270</v>
      </c>
      <c r="AH17" s="17"/>
      <c r="AI17" s="17"/>
      <c r="AJ17" s="17"/>
      <c r="AK17" s="17"/>
      <c r="AL17" s="22"/>
      <c r="AN17" s="21" t="s">
        <v>270</v>
      </c>
      <c r="AO17" s="17"/>
      <c r="AP17" s="17"/>
      <c r="AQ17" s="17"/>
      <c r="AR17" s="17"/>
      <c r="AS17" s="22"/>
      <c r="AU17" s="21" t="s">
        <v>270</v>
      </c>
      <c r="AV17" s="17"/>
      <c r="AW17" s="17"/>
      <c r="AX17" s="17"/>
      <c r="AY17" s="17"/>
      <c r="AZ17" s="22"/>
      <c r="BB17" s="21" t="s">
        <v>270</v>
      </c>
      <c r="BC17" s="17"/>
      <c r="BD17" s="17"/>
      <c r="BE17" s="17"/>
      <c r="BF17" s="17"/>
      <c r="BI17" s="21" t="s">
        <v>270</v>
      </c>
      <c r="BJ17" s="17"/>
      <c r="BK17" s="17"/>
      <c r="BL17" s="17"/>
      <c r="BM17" s="17"/>
      <c r="BN17" s="22"/>
      <c r="BP17" s="21" t="s">
        <v>270</v>
      </c>
      <c r="BQ17" s="17"/>
      <c r="BR17" s="17"/>
      <c r="BS17" s="17"/>
      <c r="BT17" s="17"/>
      <c r="BU17" s="22"/>
      <c r="BW17" s="21" t="s">
        <v>270</v>
      </c>
      <c r="BX17" s="17"/>
      <c r="BY17" s="17"/>
      <c r="BZ17" s="17"/>
      <c r="CA17" s="17"/>
      <c r="CB17" s="22"/>
      <c r="CD17" s="21" t="s">
        <v>270</v>
      </c>
      <c r="CE17" s="17"/>
      <c r="CF17" s="17"/>
      <c r="CG17" s="17"/>
      <c r="CH17" s="17"/>
      <c r="CI17" s="22"/>
      <c r="CL17" s="21" t="s">
        <v>270</v>
      </c>
      <c r="CM17" s="17"/>
      <c r="CN17" s="17"/>
      <c r="CO17" s="17"/>
      <c r="CP17" s="17"/>
      <c r="CQ17" s="22"/>
      <c r="CS17" s="21" t="s">
        <v>270</v>
      </c>
      <c r="CT17" s="17"/>
      <c r="CU17" s="17"/>
      <c r="CV17" s="17"/>
      <c r="CW17" s="17"/>
      <c r="CX17" s="22"/>
      <c r="CZ17" s="21" t="s">
        <v>270</v>
      </c>
      <c r="DA17" s="17"/>
      <c r="DB17" s="17"/>
      <c r="DC17" s="17"/>
      <c r="DD17" s="17"/>
      <c r="DE17" s="22"/>
    </row>
    <row r="18" spans="2:109" x14ac:dyDescent="0.2">
      <c r="B18" s="174" t="s">
        <v>528</v>
      </c>
      <c r="C18" s="149"/>
      <c r="D18" s="149"/>
      <c r="E18" s="149"/>
      <c r="F18" s="149"/>
      <c r="G18" s="150"/>
      <c r="J18" s="174" t="s">
        <v>528</v>
      </c>
      <c r="K18" s="149"/>
      <c r="L18" s="149"/>
      <c r="M18" s="149"/>
      <c r="N18" s="149"/>
      <c r="O18" s="150"/>
      <c r="R18" s="174" t="s">
        <v>528</v>
      </c>
      <c r="S18" s="149"/>
      <c r="T18" s="149"/>
      <c r="U18" s="149"/>
      <c r="V18" s="149"/>
      <c r="W18" s="150"/>
      <c r="Y18" s="174" t="s">
        <v>528</v>
      </c>
      <c r="Z18" s="149"/>
      <c r="AA18" s="149"/>
      <c r="AB18" s="149"/>
      <c r="AC18" s="149"/>
      <c r="AD18" s="150"/>
      <c r="AG18" s="174" t="s">
        <v>528</v>
      </c>
      <c r="AH18" s="149"/>
      <c r="AI18" s="149"/>
      <c r="AJ18" s="149"/>
      <c r="AK18" s="149"/>
      <c r="AL18" s="150"/>
      <c r="AN18" s="174" t="s">
        <v>528</v>
      </c>
      <c r="AO18" s="149"/>
      <c r="AP18" s="149"/>
      <c r="AQ18" s="149"/>
      <c r="AR18" s="149"/>
      <c r="AS18" s="150"/>
      <c r="AU18" s="174" t="s">
        <v>528</v>
      </c>
      <c r="AV18" s="149"/>
      <c r="AW18" s="149"/>
      <c r="AX18" s="149"/>
      <c r="AY18" s="149"/>
      <c r="AZ18" s="150"/>
      <c r="BB18" s="174" t="s">
        <v>528</v>
      </c>
      <c r="BC18" s="149"/>
      <c r="BD18" s="149"/>
      <c r="BE18" s="149"/>
      <c r="BF18" s="149"/>
      <c r="BG18" s="150"/>
      <c r="BI18" s="174" t="s">
        <v>528</v>
      </c>
      <c r="BJ18" s="149"/>
      <c r="BK18" s="149"/>
      <c r="BL18" s="149"/>
      <c r="BM18" s="149"/>
      <c r="BN18" s="150"/>
      <c r="BP18" s="174" t="s">
        <v>528</v>
      </c>
      <c r="BQ18" s="149"/>
      <c r="BR18" s="149"/>
      <c r="BS18" s="149"/>
      <c r="BT18" s="149"/>
      <c r="BU18" s="150"/>
      <c r="BW18" s="174" t="s">
        <v>528</v>
      </c>
      <c r="BX18" s="149"/>
      <c r="BY18" s="149"/>
      <c r="BZ18" s="149"/>
      <c r="CA18" s="149"/>
      <c r="CB18" s="150"/>
      <c r="CD18" s="174" t="s">
        <v>528</v>
      </c>
      <c r="CE18" s="149"/>
      <c r="CF18" s="149"/>
      <c r="CG18" s="149"/>
      <c r="CH18" s="149"/>
      <c r="CI18" s="150"/>
      <c r="CL18" s="174" t="s">
        <v>528</v>
      </c>
      <c r="CM18" s="149"/>
      <c r="CN18" s="149"/>
      <c r="CO18" s="149"/>
      <c r="CP18" s="149"/>
      <c r="CQ18" s="150"/>
      <c r="CS18" s="174" t="s">
        <v>528</v>
      </c>
      <c r="CT18" s="149"/>
      <c r="CU18" s="149"/>
      <c r="CV18" s="149"/>
      <c r="CW18" s="149"/>
      <c r="CX18" s="150"/>
      <c r="CZ18" s="174" t="s">
        <v>528</v>
      </c>
      <c r="DA18" s="149"/>
      <c r="DB18" s="149"/>
      <c r="DC18" s="149"/>
      <c r="DD18" s="149"/>
      <c r="DE18" s="150"/>
    </row>
    <row r="19" spans="2:109" ht="15" x14ac:dyDescent="0.25">
      <c r="B19" s="21"/>
      <c r="C19" s="18" t="s">
        <v>259</v>
      </c>
      <c r="D19" s="18" t="s">
        <v>260</v>
      </c>
      <c r="E19" s="18" t="s">
        <v>263</v>
      </c>
      <c r="F19" s="19" t="s">
        <v>261</v>
      </c>
      <c r="G19" s="20" t="s">
        <v>262</v>
      </c>
      <c r="J19" s="21"/>
      <c r="K19" s="18" t="s">
        <v>259</v>
      </c>
      <c r="L19" s="18" t="s">
        <v>260</v>
      </c>
      <c r="M19" s="18" t="s">
        <v>263</v>
      </c>
      <c r="N19" s="19" t="s">
        <v>261</v>
      </c>
      <c r="O19" s="20" t="s">
        <v>262</v>
      </c>
      <c r="R19" s="21"/>
      <c r="S19" s="18" t="s">
        <v>259</v>
      </c>
      <c r="T19" s="18" t="s">
        <v>260</v>
      </c>
      <c r="U19" s="18" t="s">
        <v>263</v>
      </c>
      <c r="V19" s="19" t="s">
        <v>261</v>
      </c>
      <c r="W19" s="20" t="s">
        <v>262</v>
      </c>
      <c r="Y19" s="21"/>
      <c r="Z19" s="18" t="s">
        <v>259</v>
      </c>
      <c r="AA19" s="18" t="s">
        <v>260</v>
      </c>
      <c r="AB19" s="18" t="s">
        <v>263</v>
      </c>
      <c r="AC19" s="19" t="s">
        <v>261</v>
      </c>
      <c r="AD19" s="20" t="s">
        <v>262</v>
      </c>
      <c r="AG19" s="21"/>
      <c r="AH19" s="18" t="s">
        <v>259</v>
      </c>
      <c r="AI19" s="18" t="s">
        <v>260</v>
      </c>
      <c r="AJ19" s="18" t="s">
        <v>263</v>
      </c>
      <c r="AK19" s="19" t="s">
        <v>261</v>
      </c>
      <c r="AL19" s="20" t="s">
        <v>262</v>
      </c>
      <c r="AN19" s="21"/>
      <c r="AO19" s="18" t="s">
        <v>259</v>
      </c>
      <c r="AP19" s="18" t="s">
        <v>260</v>
      </c>
      <c r="AQ19" s="18" t="s">
        <v>263</v>
      </c>
      <c r="AR19" s="19" t="s">
        <v>261</v>
      </c>
      <c r="AS19" s="20" t="s">
        <v>262</v>
      </c>
      <c r="AU19" s="21"/>
      <c r="AV19" s="18" t="s">
        <v>259</v>
      </c>
      <c r="AW19" s="18" t="s">
        <v>260</v>
      </c>
      <c r="AX19" s="18" t="s">
        <v>263</v>
      </c>
      <c r="AY19" s="19" t="s">
        <v>261</v>
      </c>
      <c r="AZ19" s="20" t="s">
        <v>262</v>
      </c>
      <c r="BB19" s="21"/>
      <c r="BC19" s="18" t="s">
        <v>259</v>
      </c>
      <c r="BD19" s="18" t="s">
        <v>260</v>
      </c>
      <c r="BE19" s="18" t="s">
        <v>263</v>
      </c>
      <c r="BF19" s="19" t="s">
        <v>261</v>
      </c>
      <c r="BG19" s="20" t="s">
        <v>262</v>
      </c>
      <c r="BH19" s="22"/>
      <c r="BI19" s="21"/>
      <c r="BJ19" s="18" t="s">
        <v>259</v>
      </c>
      <c r="BK19" s="18" t="s">
        <v>260</v>
      </c>
      <c r="BL19" s="18" t="s">
        <v>263</v>
      </c>
      <c r="BM19" s="19" t="s">
        <v>261</v>
      </c>
      <c r="BN19" s="20" t="s">
        <v>262</v>
      </c>
      <c r="BP19" s="21"/>
      <c r="BQ19" s="18" t="s">
        <v>259</v>
      </c>
      <c r="BR19" s="18" t="s">
        <v>260</v>
      </c>
      <c r="BS19" s="18" t="s">
        <v>263</v>
      </c>
      <c r="BT19" s="19" t="s">
        <v>261</v>
      </c>
      <c r="BU19" s="20" t="s">
        <v>262</v>
      </c>
      <c r="BW19" s="21"/>
      <c r="BX19" s="18" t="s">
        <v>259</v>
      </c>
      <c r="BY19" s="18" t="s">
        <v>260</v>
      </c>
      <c r="BZ19" s="18" t="s">
        <v>263</v>
      </c>
      <c r="CA19" s="19" t="s">
        <v>261</v>
      </c>
      <c r="CB19" s="20" t="s">
        <v>262</v>
      </c>
      <c r="CD19" s="21"/>
      <c r="CE19" s="18" t="s">
        <v>259</v>
      </c>
      <c r="CF19" s="18" t="s">
        <v>260</v>
      </c>
      <c r="CG19" s="18" t="s">
        <v>263</v>
      </c>
      <c r="CH19" s="19" t="s">
        <v>261</v>
      </c>
      <c r="CI19" s="20" t="s">
        <v>262</v>
      </c>
      <c r="CL19" s="21"/>
      <c r="CM19" s="18" t="s">
        <v>259</v>
      </c>
      <c r="CN19" s="18" t="s">
        <v>260</v>
      </c>
      <c r="CO19" s="18" t="s">
        <v>263</v>
      </c>
      <c r="CP19" s="19" t="s">
        <v>261</v>
      </c>
      <c r="CQ19" s="20" t="s">
        <v>262</v>
      </c>
      <c r="CS19" s="21"/>
      <c r="CT19" s="18" t="s">
        <v>259</v>
      </c>
      <c r="CU19" s="18" t="s">
        <v>260</v>
      </c>
      <c r="CV19" s="18" t="s">
        <v>263</v>
      </c>
      <c r="CW19" s="19" t="s">
        <v>261</v>
      </c>
      <c r="CX19" s="20" t="s">
        <v>262</v>
      </c>
      <c r="CZ19" s="21"/>
      <c r="DA19" s="18" t="s">
        <v>259</v>
      </c>
      <c r="DB19" s="18" t="s">
        <v>260</v>
      </c>
      <c r="DC19" s="18" t="s">
        <v>263</v>
      </c>
      <c r="DD19" s="19" t="s">
        <v>261</v>
      </c>
      <c r="DE19" s="20" t="s">
        <v>262</v>
      </c>
    </row>
    <row r="20" spans="2:109" x14ac:dyDescent="0.2">
      <c r="B20" s="21">
        <v>5</v>
      </c>
      <c r="C20" s="17">
        <v>-970.30976599999997</v>
      </c>
      <c r="D20" s="17"/>
      <c r="E20" s="17" t="s">
        <v>591</v>
      </c>
      <c r="F20" s="17">
        <f>8.337212/2</f>
        <v>4.1686059999999996</v>
      </c>
      <c r="G20" s="22">
        <f>C20+F20</f>
        <v>-966.14116000000001</v>
      </c>
      <c r="J20" s="21">
        <v>5</v>
      </c>
      <c r="K20" s="17">
        <v>-971.25409999999999</v>
      </c>
      <c r="L20" s="17"/>
      <c r="M20" s="17" t="s">
        <v>641</v>
      </c>
      <c r="N20" s="17">
        <f>8.372444/2</f>
        <v>4.1862219999999999</v>
      </c>
      <c r="O20" s="22">
        <f>K20+N20</f>
        <v>-967.06787799999995</v>
      </c>
      <c r="R20" s="21">
        <v>5</v>
      </c>
      <c r="S20" s="17">
        <v>-977.75666999999999</v>
      </c>
      <c r="T20" s="17"/>
      <c r="U20" s="17" t="s">
        <v>680</v>
      </c>
      <c r="V20" s="17">
        <f>8.398683/2</f>
        <v>4.1993415000000001</v>
      </c>
      <c r="W20" s="22">
        <f>S20+V20</f>
        <v>-973.55732850000004</v>
      </c>
      <c r="Y20" s="21">
        <v>5</v>
      </c>
      <c r="Z20" s="17">
        <v>-972.70049300000005</v>
      </c>
      <c r="AA20" s="17"/>
      <c r="AB20" s="17" t="s">
        <v>582</v>
      </c>
      <c r="AC20" s="17">
        <f>8.330201/2</f>
        <v>4.1651005000000003</v>
      </c>
      <c r="AD20" s="22">
        <f>Z20+AC20</f>
        <v>-968.53539250000006</v>
      </c>
      <c r="AG20" s="21">
        <v>5</v>
      </c>
      <c r="AH20" s="45">
        <v>-962.01835500000004</v>
      </c>
      <c r="AI20" s="45"/>
      <c r="AJ20" s="147" t="s">
        <v>910</v>
      </c>
      <c r="AK20" s="45">
        <f>8.478635/2</f>
        <v>4.2393175000000003</v>
      </c>
      <c r="AL20" s="146">
        <f>AH20+AK20</f>
        <v>-957.77903750000007</v>
      </c>
      <c r="AN20" s="21">
        <v>5</v>
      </c>
      <c r="AO20" s="17">
        <v>-973.24109599999997</v>
      </c>
      <c r="AP20" s="17"/>
      <c r="AQ20" s="17" t="s">
        <v>614</v>
      </c>
      <c r="AR20" s="17">
        <f>8.390311 /2</f>
        <v>4.1951555000000003</v>
      </c>
      <c r="AS20" s="22">
        <f>AO20+AR20</f>
        <v>-969.04594049999992</v>
      </c>
      <c r="AU20" s="21">
        <v>5</v>
      </c>
      <c r="AV20" s="17">
        <v>-974.22737700000005</v>
      </c>
      <c r="AW20" s="17"/>
      <c r="AX20" s="17" t="s">
        <v>568</v>
      </c>
      <c r="AY20" s="17">
        <f>8.388383/2</f>
        <v>4.1941914999999996</v>
      </c>
      <c r="AZ20" s="22">
        <f>AV20+AY20</f>
        <v>-970.03318550000006</v>
      </c>
      <c r="BB20" s="21">
        <v>5</v>
      </c>
      <c r="BC20" s="17">
        <v>-976.03730499999995</v>
      </c>
      <c r="BD20" s="17"/>
      <c r="BE20" s="17" t="s">
        <v>605</v>
      </c>
      <c r="BF20" s="17">
        <f>8.348945/2</f>
        <v>4.1744725000000003</v>
      </c>
      <c r="BG20" s="22">
        <f>BC20+BF20</f>
        <v>-971.86283249999997</v>
      </c>
      <c r="BI20" s="21">
        <v>5</v>
      </c>
      <c r="BJ20" s="17">
        <v>-967.88529800000003</v>
      </c>
      <c r="BK20" s="17"/>
      <c r="BL20" s="17" t="s">
        <v>650</v>
      </c>
      <c r="BM20" s="17">
        <f>8.414548/2</f>
        <v>4.207274</v>
      </c>
      <c r="BN20" s="22">
        <f>BJ20+BM20</f>
        <v>-963.67802400000005</v>
      </c>
      <c r="BP20" s="21">
        <v>5</v>
      </c>
      <c r="BQ20" s="17">
        <v>-973.33463500000005</v>
      </c>
      <c r="BR20" s="17"/>
      <c r="BS20" s="17" t="s">
        <v>551</v>
      </c>
      <c r="BT20" s="17">
        <f>8.507553/2</f>
        <v>4.2537764999999998</v>
      </c>
      <c r="BU20" s="22">
        <f>BQ20+BT20</f>
        <v>-969.08085850000009</v>
      </c>
      <c r="BW20" s="21">
        <v>5</v>
      </c>
      <c r="BX20" s="17">
        <v>-975.47130400000003</v>
      </c>
      <c r="BY20" s="17"/>
      <c r="BZ20" s="17" t="s">
        <v>658</v>
      </c>
      <c r="CA20" s="17">
        <f>0.243886/2</f>
        <v>0.121943</v>
      </c>
      <c r="CB20" s="22">
        <f>BX20+CA20</f>
        <v>-975.34936100000004</v>
      </c>
      <c r="CD20" s="21">
        <v>5</v>
      </c>
      <c r="CE20" s="17">
        <v>-976.99637499999994</v>
      </c>
      <c r="CF20" s="17"/>
      <c r="CG20" s="17" t="s">
        <v>668</v>
      </c>
      <c r="CH20" s="17">
        <f>8.301055/2</f>
        <v>4.1505274999999999</v>
      </c>
      <c r="CI20" s="22">
        <f>CE20+CH20</f>
        <v>-972.84584749999999</v>
      </c>
      <c r="CL20" s="21">
        <v>5</v>
      </c>
      <c r="CM20" s="17">
        <v>-971.69676800000002</v>
      </c>
      <c r="CN20" s="17"/>
      <c r="CO20" s="17" t="s">
        <v>619</v>
      </c>
      <c r="CP20" s="17">
        <f>8.44664/2</f>
        <v>4.2233200000000002</v>
      </c>
      <c r="CQ20" s="22">
        <f>CM20+CP20</f>
        <v>-967.47344800000008</v>
      </c>
      <c r="CS20" s="21">
        <v>5</v>
      </c>
      <c r="CT20" s="17">
        <v>-973.01413400000001</v>
      </c>
      <c r="CU20" s="17"/>
      <c r="CV20" s="17" t="s">
        <v>629</v>
      </c>
      <c r="CW20" s="17">
        <f>8.506413/2</f>
        <v>4.2532065000000001</v>
      </c>
      <c r="CX20" s="22">
        <f>CT20+CW20</f>
        <v>-968.76092749999998</v>
      </c>
      <c r="CZ20" s="21">
        <v>5</v>
      </c>
      <c r="DA20" s="17">
        <v>-962.50679100000002</v>
      </c>
      <c r="DB20" s="17"/>
      <c r="DC20" s="17" t="s">
        <v>718</v>
      </c>
      <c r="DD20" s="17">
        <f>8.356027/2</f>
        <v>4.1780134999999996</v>
      </c>
      <c r="DE20" s="22">
        <f>DA20+DD20</f>
        <v>-958.3287775</v>
      </c>
    </row>
    <row r="21" spans="2:109" x14ac:dyDescent="0.2">
      <c r="B21" s="21" t="s">
        <v>270</v>
      </c>
      <c r="C21" s="17"/>
      <c r="D21" s="17"/>
      <c r="E21" s="17"/>
      <c r="F21" s="17"/>
      <c r="G21" s="22"/>
      <c r="J21" s="21" t="s">
        <v>270</v>
      </c>
      <c r="K21" s="17"/>
      <c r="L21" s="17"/>
      <c r="M21" s="17"/>
      <c r="N21" s="17"/>
      <c r="O21" s="22"/>
      <c r="R21" s="21" t="s">
        <v>270</v>
      </c>
      <c r="S21" s="17"/>
      <c r="T21" s="17"/>
      <c r="U21" s="17"/>
      <c r="V21" s="17"/>
      <c r="W21" s="22"/>
      <c r="Y21" s="21" t="s">
        <v>270</v>
      </c>
      <c r="Z21" s="17"/>
      <c r="AA21" s="17"/>
      <c r="AB21" s="17"/>
      <c r="AC21" s="17"/>
      <c r="AD21" s="22"/>
      <c r="AG21" s="21" t="s">
        <v>270</v>
      </c>
      <c r="AH21" s="17"/>
      <c r="AI21" s="17"/>
      <c r="AJ21" s="17"/>
      <c r="AK21" s="17"/>
      <c r="AL21" s="22"/>
      <c r="AN21" s="21" t="s">
        <v>270</v>
      </c>
      <c r="AO21" s="17"/>
      <c r="AP21" s="17"/>
      <c r="AQ21" s="17"/>
      <c r="AR21" s="17"/>
      <c r="AS21" s="22"/>
      <c r="AU21" s="21" t="s">
        <v>270</v>
      </c>
      <c r="AV21" s="17"/>
      <c r="AW21" s="17"/>
      <c r="AX21" s="17"/>
      <c r="AY21" s="17"/>
      <c r="AZ21" s="22"/>
      <c r="BB21" s="21" t="s">
        <v>270</v>
      </c>
      <c r="BC21" s="17"/>
      <c r="BD21" s="17"/>
      <c r="BE21" s="17"/>
      <c r="BF21" s="17"/>
      <c r="BG21" s="22"/>
      <c r="BI21" s="21" t="s">
        <v>270</v>
      </c>
      <c r="BJ21" s="17"/>
      <c r="BK21" s="17"/>
      <c r="BL21" s="17"/>
      <c r="BM21" s="17"/>
      <c r="BN21" s="22"/>
      <c r="BP21" s="21" t="s">
        <v>270</v>
      </c>
      <c r="BQ21" s="17"/>
      <c r="BR21" s="17"/>
      <c r="BS21" s="17"/>
      <c r="BT21" s="17"/>
      <c r="BU21" s="22"/>
      <c r="BW21" s="21" t="s">
        <v>270</v>
      </c>
      <c r="BX21" s="17"/>
      <c r="BY21" s="17"/>
      <c r="BZ21" s="17"/>
      <c r="CA21" s="17"/>
      <c r="CB21" s="22"/>
      <c r="CD21" s="21" t="s">
        <v>270</v>
      </c>
      <c r="CE21" s="17"/>
      <c r="CF21" s="17"/>
      <c r="CG21" s="17"/>
      <c r="CH21" s="17"/>
      <c r="CI21" s="22"/>
      <c r="CL21" s="21" t="s">
        <v>270</v>
      </c>
      <c r="CM21" s="17"/>
      <c r="CN21" s="17"/>
      <c r="CO21" s="17"/>
      <c r="CP21" s="17"/>
      <c r="CQ21" s="22"/>
      <c r="CS21" s="21" t="s">
        <v>270</v>
      </c>
      <c r="CT21" s="17"/>
      <c r="CU21" s="17"/>
      <c r="CV21" s="17"/>
      <c r="CW21" s="17"/>
      <c r="CX21" s="22"/>
      <c r="CZ21" s="21" t="s">
        <v>270</v>
      </c>
      <c r="DA21" s="17"/>
      <c r="DB21" s="17"/>
      <c r="DC21" s="17"/>
      <c r="DD21" s="17"/>
      <c r="DE21" s="22"/>
    </row>
    <row r="22" spans="2:109" x14ac:dyDescent="0.2">
      <c r="B22" s="148" t="s">
        <v>554</v>
      </c>
      <c r="C22" s="149"/>
      <c r="D22" s="149"/>
      <c r="E22" s="149"/>
      <c r="F22" s="149"/>
      <c r="G22" s="150"/>
      <c r="J22" s="148" t="s">
        <v>554</v>
      </c>
      <c r="K22" s="149"/>
      <c r="L22" s="149"/>
      <c r="M22" s="149"/>
      <c r="N22" s="149"/>
      <c r="O22" s="150"/>
      <c r="R22" s="148" t="s">
        <v>554</v>
      </c>
      <c r="S22" s="149"/>
      <c r="T22" s="149"/>
      <c r="U22" s="149"/>
      <c r="V22" s="149"/>
      <c r="W22" s="150"/>
      <c r="Y22" s="148" t="s">
        <v>554</v>
      </c>
      <c r="Z22" s="149"/>
      <c r="AA22" s="149"/>
      <c r="AB22" s="149"/>
      <c r="AC22" s="149"/>
      <c r="AD22" s="150"/>
      <c r="AG22" s="148" t="s">
        <v>554</v>
      </c>
      <c r="AH22" s="149"/>
      <c r="AI22" s="149"/>
      <c r="AJ22" s="149"/>
      <c r="AK22" s="149"/>
      <c r="AL22" s="150"/>
      <c r="AN22" s="148" t="s">
        <v>554</v>
      </c>
      <c r="AO22" s="149"/>
      <c r="AP22" s="149"/>
      <c r="AQ22" s="149"/>
      <c r="AR22" s="149"/>
      <c r="AS22" s="150"/>
      <c r="AU22" s="148" t="s">
        <v>554</v>
      </c>
      <c r="AV22" s="149"/>
      <c r="AW22" s="149"/>
      <c r="AX22" s="149"/>
      <c r="AY22" s="149"/>
      <c r="AZ22" s="150"/>
      <c r="BB22" s="148" t="s">
        <v>554</v>
      </c>
      <c r="BC22" s="149"/>
      <c r="BD22" s="149"/>
      <c r="BE22" s="149"/>
      <c r="BF22" s="149"/>
      <c r="BG22" s="150"/>
      <c r="BI22" s="148" t="s">
        <v>554</v>
      </c>
      <c r="BJ22" s="149"/>
      <c r="BK22" s="149"/>
      <c r="BL22" s="149"/>
      <c r="BM22" s="149"/>
      <c r="BN22" s="150"/>
      <c r="BP22" s="148" t="s">
        <v>554</v>
      </c>
      <c r="BQ22" s="149"/>
      <c r="BR22" s="149"/>
      <c r="BS22" s="149"/>
      <c r="BT22" s="149"/>
      <c r="BU22" s="150"/>
      <c r="BW22" s="148" t="s">
        <v>554</v>
      </c>
      <c r="BX22" s="149"/>
      <c r="BY22" s="149"/>
      <c r="BZ22" s="149"/>
      <c r="CA22" s="149"/>
      <c r="CB22" s="150"/>
      <c r="CD22" s="148" t="s">
        <v>554</v>
      </c>
      <c r="CE22" s="149"/>
      <c r="CF22" s="149"/>
      <c r="CG22" s="149"/>
      <c r="CH22" s="149"/>
      <c r="CI22" s="150"/>
      <c r="CL22" s="148" t="s">
        <v>554</v>
      </c>
      <c r="CM22" s="149"/>
      <c r="CN22" s="149"/>
      <c r="CO22" s="149"/>
      <c r="CP22" s="149"/>
      <c r="CQ22" s="150"/>
      <c r="CS22" s="148" t="s">
        <v>554</v>
      </c>
      <c r="CT22" s="149"/>
      <c r="CU22" s="149"/>
      <c r="CV22" s="149"/>
      <c r="CW22" s="149"/>
      <c r="CX22" s="150"/>
      <c r="CZ22" s="148" t="s">
        <v>554</v>
      </c>
      <c r="DA22" s="149"/>
      <c r="DB22" s="149"/>
      <c r="DC22" s="149"/>
      <c r="DD22" s="149"/>
      <c r="DE22" s="150"/>
    </row>
    <row r="23" spans="2:109" ht="15" x14ac:dyDescent="0.25">
      <c r="B23" s="21"/>
      <c r="C23" s="18" t="s">
        <v>259</v>
      </c>
      <c r="D23" s="18" t="s">
        <v>260</v>
      </c>
      <c r="E23" s="18" t="s">
        <v>263</v>
      </c>
      <c r="F23" s="19" t="s">
        <v>261</v>
      </c>
      <c r="G23" s="20" t="s">
        <v>262</v>
      </c>
      <c r="J23" s="21"/>
      <c r="K23" s="18" t="s">
        <v>259</v>
      </c>
      <c r="L23" s="18" t="s">
        <v>260</v>
      </c>
      <c r="M23" s="18" t="s">
        <v>263</v>
      </c>
      <c r="N23" s="19" t="s">
        <v>261</v>
      </c>
      <c r="O23" s="20" t="s">
        <v>262</v>
      </c>
      <c r="R23" s="21"/>
      <c r="S23" s="18" t="s">
        <v>259</v>
      </c>
      <c r="T23" s="18" t="s">
        <v>260</v>
      </c>
      <c r="U23" s="18" t="s">
        <v>263</v>
      </c>
      <c r="V23" s="19" t="s">
        <v>261</v>
      </c>
      <c r="W23" s="20" t="s">
        <v>262</v>
      </c>
      <c r="Y23" s="21"/>
      <c r="Z23" s="18" t="s">
        <v>259</v>
      </c>
      <c r="AA23" s="18" t="s">
        <v>260</v>
      </c>
      <c r="AB23" s="18" t="s">
        <v>263</v>
      </c>
      <c r="AC23" s="19" t="s">
        <v>261</v>
      </c>
      <c r="AD23" s="20" t="s">
        <v>262</v>
      </c>
      <c r="AG23" s="21"/>
      <c r="AH23" s="18" t="s">
        <v>259</v>
      </c>
      <c r="AI23" s="18" t="s">
        <v>260</v>
      </c>
      <c r="AJ23" s="18" t="s">
        <v>263</v>
      </c>
      <c r="AK23" s="19" t="s">
        <v>261</v>
      </c>
      <c r="AL23" s="20" t="s">
        <v>262</v>
      </c>
      <c r="AN23" s="21"/>
      <c r="AO23" s="18" t="s">
        <v>259</v>
      </c>
      <c r="AP23" s="18" t="s">
        <v>260</v>
      </c>
      <c r="AQ23" s="18" t="s">
        <v>263</v>
      </c>
      <c r="AR23" s="19" t="s">
        <v>261</v>
      </c>
      <c r="AS23" s="20" t="s">
        <v>262</v>
      </c>
      <c r="AU23" s="21"/>
      <c r="AV23" s="18" t="s">
        <v>259</v>
      </c>
      <c r="AW23" s="18" t="s">
        <v>260</v>
      </c>
      <c r="AX23" s="18" t="s">
        <v>263</v>
      </c>
      <c r="AY23" s="19" t="s">
        <v>261</v>
      </c>
      <c r="AZ23" s="20" t="s">
        <v>262</v>
      </c>
      <c r="BB23" s="21"/>
      <c r="BC23" s="18" t="s">
        <v>259</v>
      </c>
      <c r="BD23" s="18" t="s">
        <v>260</v>
      </c>
      <c r="BE23" s="18" t="s">
        <v>263</v>
      </c>
      <c r="BF23" s="19" t="s">
        <v>261</v>
      </c>
      <c r="BG23" s="20" t="s">
        <v>262</v>
      </c>
      <c r="BI23" s="21"/>
      <c r="BJ23" s="18" t="s">
        <v>259</v>
      </c>
      <c r="BK23" s="18" t="s">
        <v>260</v>
      </c>
      <c r="BL23" s="18" t="s">
        <v>263</v>
      </c>
      <c r="BM23" s="19" t="s">
        <v>261</v>
      </c>
      <c r="BN23" s="20" t="s">
        <v>262</v>
      </c>
      <c r="BP23" s="21"/>
      <c r="BQ23" s="18" t="s">
        <v>259</v>
      </c>
      <c r="BR23" s="18" t="s">
        <v>260</v>
      </c>
      <c r="BS23" s="18" t="s">
        <v>263</v>
      </c>
      <c r="BT23" s="19" t="s">
        <v>261</v>
      </c>
      <c r="BU23" s="20" t="s">
        <v>262</v>
      </c>
      <c r="BW23" s="21"/>
      <c r="BX23" s="18" t="s">
        <v>259</v>
      </c>
      <c r="BY23" s="18" t="s">
        <v>260</v>
      </c>
      <c r="BZ23" s="18" t="s">
        <v>263</v>
      </c>
      <c r="CA23" s="19" t="s">
        <v>261</v>
      </c>
      <c r="CB23" s="20" t="s">
        <v>262</v>
      </c>
      <c r="CD23" s="21"/>
      <c r="CE23" s="18" t="s">
        <v>259</v>
      </c>
      <c r="CF23" s="18" t="s">
        <v>260</v>
      </c>
      <c r="CG23" s="18" t="s">
        <v>263</v>
      </c>
      <c r="CH23" s="19" t="s">
        <v>261</v>
      </c>
      <c r="CI23" s="20" t="s">
        <v>262</v>
      </c>
      <c r="CL23" s="21"/>
      <c r="CM23" s="18" t="s">
        <v>259</v>
      </c>
      <c r="CN23" s="18" t="s">
        <v>260</v>
      </c>
      <c r="CO23" s="18" t="s">
        <v>263</v>
      </c>
      <c r="CP23" s="19" t="s">
        <v>261</v>
      </c>
      <c r="CQ23" s="20" t="s">
        <v>262</v>
      </c>
      <c r="CS23" s="21"/>
      <c r="CT23" s="18" t="s">
        <v>259</v>
      </c>
      <c r="CU23" s="18" t="s">
        <v>260</v>
      </c>
      <c r="CV23" s="18" t="s">
        <v>263</v>
      </c>
      <c r="CW23" s="19" t="s">
        <v>261</v>
      </c>
      <c r="CX23" s="20" t="s">
        <v>262</v>
      </c>
      <c r="CZ23" s="21"/>
      <c r="DA23" s="18" t="s">
        <v>259</v>
      </c>
      <c r="DB23" s="18" t="s">
        <v>260</v>
      </c>
      <c r="DC23" s="18" t="s">
        <v>263</v>
      </c>
      <c r="DD23" s="19" t="s">
        <v>261</v>
      </c>
      <c r="DE23" s="20" t="s">
        <v>262</v>
      </c>
    </row>
    <row r="24" spans="2:109" x14ac:dyDescent="0.2">
      <c r="B24" s="21">
        <v>6</v>
      </c>
      <c r="C24" s="17">
        <v>-976.61882400000002</v>
      </c>
      <c r="D24" s="17"/>
      <c r="E24" s="17" t="s">
        <v>593</v>
      </c>
      <c r="F24" s="17">
        <f>8.792879 /2</f>
        <v>4.3964394999999996</v>
      </c>
      <c r="G24" s="22">
        <f>C24+F24</f>
        <v>-972.22238449999998</v>
      </c>
      <c r="J24" s="21">
        <v>6</v>
      </c>
      <c r="K24" s="17">
        <v>-977.49580000000003</v>
      </c>
      <c r="L24" s="17"/>
      <c r="M24" s="17" t="s">
        <v>642</v>
      </c>
      <c r="N24" s="17">
        <f>8.709614/2</f>
        <v>4.3548070000000001</v>
      </c>
      <c r="O24" s="22">
        <f>K24+N24</f>
        <v>-973.14099299999998</v>
      </c>
      <c r="R24" s="21">
        <v>6</v>
      </c>
      <c r="S24" s="17">
        <v>-984.079294</v>
      </c>
      <c r="T24" s="17"/>
      <c r="U24" s="17" t="s">
        <v>681</v>
      </c>
      <c r="V24" s="17">
        <f>8.635084/2</f>
        <v>4.3175420000000004</v>
      </c>
      <c r="W24" s="22">
        <f>S24+V24</f>
        <v>-979.761752</v>
      </c>
      <c r="Y24" s="21">
        <v>6</v>
      </c>
      <c r="Z24" s="17">
        <v>-978.93127600000003</v>
      </c>
      <c r="AA24" s="17"/>
      <c r="AB24" s="45" t="s">
        <v>819</v>
      </c>
      <c r="AC24" s="17">
        <f>8.52749/2</f>
        <v>4.2637450000000001</v>
      </c>
      <c r="AD24" s="22">
        <f>Z24+AC24</f>
        <v>-974.66753100000005</v>
      </c>
      <c r="AG24" s="21">
        <v>6</v>
      </c>
      <c r="AH24" s="45">
        <v>-981.83241599999997</v>
      </c>
      <c r="AI24" s="45"/>
      <c r="AJ24" s="45" t="s">
        <v>854</v>
      </c>
      <c r="AK24" s="45">
        <f>8.661797/2</f>
        <v>4.3308985</v>
      </c>
      <c r="AL24" s="146">
        <f>AH24+AK24</f>
        <v>-977.50151749999998</v>
      </c>
      <c r="AN24" s="21">
        <v>6</v>
      </c>
      <c r="AO24" s="17">
        <v>-979.70313799999997</v>
      </c>
      <c r="AP24" s="17"/>
      <c r="AQ24" s="17" t="s">
        <v>615</v>
      </c>
      <c r="AR24" s="17">
        <f>8.627158/2</f>
        <v>4.3135789999999998</v>
      </c>
      <c r="AS24" s="22">
        <f>AO24+AR24</f>
        <v>-975.38955899999996</v>
      </c>
      <c r="AT24">
        <f>AS24-AS51-吉布斯自由能汇总!F58</f>
        <v>-6.4895039999999682</v>
      </c>
      <c r="AU24" s="21">
        <v>6</v>
      </c>
      <c r="AV24" s="17">
        <v>-980.50078299999996</v>
      </c>
      <c r="AW24" s="17"/>
      <c r="AX24" s="17" t="s">
        <v>569</v>
      </c>
      <c r="AY24" s="17">
        <f>8.715137/2</f>
        <v>4.3575685000000002</v>
      </c>
      <c r="AZ24" s="22">
        <f>AV24+AY24</f>
        <v>-976.1432145</v>
      </c>
      <c r="BB24" s="21">
        <v>6</v>
      </c>
      <c r="BC24" s="17">
        <v>-982.47985000000006</v>
      </c>
      <c r="BD24" s="17"/>
      <c r="BE24" s="17" t="s">
        <v>606</v>
      </c>
      <c r="BF24" s="17">
        <f>8.693056/2</f>
        <v>4.3465280000000002</v>
      </c>
      <c r="BG24" s="22">
        <f>BC24+BF24</f>
        <v>-978.13332200000002</v>
      </c>
      <c r="BI24" s="21">
        <v>6</v>
      </c>
      <c r="BJ24" s="17">
        <v>-973.20752100000004</v>
      </c>
      <c r="BK24" s="17"/>
      <c r="BL24" s="17" t="s">
        <v>651</v>
      </c>
      <c r="BM24" s="17">
        <f>8.738284/2</f>
        <v>4.3691420000000001</v>
      </c>
      <c r="BN24" s="22">
        <f>BJ24+BM24</f>
        <v>-968.83837900000003</v>
      </c>
      <c r="BP24" s="21">
        <v>6</v>
      </c>
      <c r="BQ24" s="17">
        <v>-979.82408299999997</v>
      </c>
      <c r="BR24" s="17"/>
      <c r="BS24" s="17" t="s">
        <v>560</v>
      </c>
      <c r="BT24" s="17">
        <f>8.875388/2</f>
        <v>4.4376939999999996</v>
      </c>
      <c r="BU24" s="22">
        <f>BQ24+BT24</f>
        <v>-975.38638900000001</v>
      </c>
      <c r="BW24" s="21">
        <v>6</v>
      </c>
      <c r="BX24" s="17">
        <v>-982.02414199999998</v>
      </c>
      <c r="BY24" s="17"/>
      <c r="BZ24" s="17" t="s">
        <v>659</v>
      </c>
      <c r="CA24" s="17">
        <f>8.601576/2</f>
        <v>4.3007879999999998</v>
      </c>
      <c r="CB24" s="22">
        <f>BX24+CA24</f>
        <v>-977.72335399999997</v>
      </c>
      <c r="CD24" s="21">
        <v>6</v>
      </c>
      <c r="CE24" s="17">
        <v>-983.29926499999999</v>
      </c>
      <c r="CF24" s="17"/>
      <c r="CG24" s="17" t="s">
        <v>669</v>
      </c>
      <c r="CH24" s="17">
        <f>8.533882/2</f>
        <v>4.2669410000000001</v>
      </c>
      <c r="CI24" s="22">
        <f>CE24+CH24</f>
        <v>-979.03232400000002</v>
      </c>
      <c r="CL24" s="21">
        <v>6</v>
      </c>
      <c r="CM24" s="17">
        <v>-977.93629699999997</v>
      </c>
      <c r="CN24" s="17"/>
      <c r="CO24" s="17" t="s">
        <v>620</v>
      </c>
      <c r="CP24" s="17">
        <f xml:space="preserve"> 8.846345/2</f>
        <v>4.4231724999999997</v>
      </c>
      <c r="CQ24" s="22">
        <f>CM24+CP24</f>
        <v>-973.5131245</v>
      </c>
      <c r="CS24" s="21">
        <v>6</v>
      </c>
      <c r="CT24" s="17">
        <v>-979.33366799999999</v>
      </c>
      <c r="CU24" s="17"/>
      <c r="CV24" s="17" t="s">
        <v>630</v>
      </c>
      <c r="CW24" s="17">
        <f>8.748248/2</f>
        <v>4.3741240000000001</v>
      </c>
      <c r="CX24" s="22">
        <f>CT24+CW24</f>
        <v>-974.95954399999994</v>
      </c>
      <c r="CZ24" s="21">
        <v>6</v>
      </c>
      <c r="DA24" s="17">
        <v>-968.79650700000002</v>
      </c>
      <c r="DB24" s="17"/>
      <c r="DC24" s="17" t="s">
        <v>720</v>
      </c>
      <c r="DD24" s="17">
        <f>8.687434/2</f>
        <v>4.3437169999999998</v>
      </c>
      <c r="DE24" s="22">
        <f>DA24+DD24</f>
        <v>-964.45279000000005</v>
      </c>
    </row>
    <row r="25" spans="2:109" x14ac:dyDescent="0.2">
      <c r="B25" s="21" t="s">
        <v>270</v>
      </c>
      <c r="C25" s="17"/>
      <c r="D25" s="17"/>
      <c r="E25" s="17"/>
      <c r="F25" s="17"/>
      <c r="G25" s="22"/>
      <c r="J25" s="21" t="s">
        <v>270</v>
      </c>
      <c r="K25" s="17"/>
      <c r="L25" s="17"/>
      <c r="M25" s="17"/>
      <c r="N25" s="17"/>
      <c r="O25" s="22"/>
      <c r="R25" s="21" t="s">
        <v>270</v>
      </c>
      <c r="S25" s="17"/>
      <c r="T25" s="17"/>
      <c r="U25" s="17"/>
      <c r="V25" s="17"/>
      <c r="W25" s="22"/>
      <c r="Y25" s="21" t="s">
        <v>270</v>
      </c>
      <c r="Z25" s="17"/>
      <c r="AA25" s="17"/>
      <c r="AB25" s="17"/>
      <c r="AC25" s="17"/>
      <c r="AD25" s="22"/>
      <c r="AG25" s="21" t="s">
        <v>270</v>
      </c>
      <c r="AH25" s="17"/>
      <c r="AI25" s="17"/>
      <c r="AJ25" s="17"/>
      <c r="AK25" s="17"/>
      <c r="AL25" s="22"/>
      <c r="AN25" s="21" t="s">
        <v>270</v>
      </c>
      <c r="AO25" s="17"/>
      <c r="AP25" s="17"/>
      <c r="AQ25" s="17"/>
      <c r="AR25" s="17"/>
      <c r="AS25" s="22"/>
      <c r="AU25" s="21" t="s">
        <v>270</v>
      </c>
      <c r="AV25" s="17"/>
      <c r="AW25" s="17"/>
      <c r="AX25" s="17"/>
      <c r="AY25" s="17"/>
      <c r="AZ25" s="22"/>
      <c r="BB25" s="21" t="s">
        <v>270</v>
      </c>
      <c r="BC25" s="17"/>
      <c r="BD25" s="17"/>
      <c r="BE25" s="17"/>
      <c r="BF25" s="17"/>
      <c r="BG25" s="22"/>
      <c r="BI25" s="21" t="s">
        <v>270</v>
      </c>
      <c r="BJ25" s="17"/>
      <c r="BK25" s="17"/>
      <c r="BL25" s="17"/>
      <c r="BM25" s="17"/>
      <c r="BN25" s="22"/>
      <c r="BP25" s="21" t="s">
        <v>270</v>
      </c>
      <c r="BQ25" s="17"/>
      <c r="BR25" s="17"/>
      <c r="BS25" s="17"/>
      <c r="BT25" s="17"/>
      <c r="BU25" s="22"/>
      <c r="BW25" s="21" t="s">
        <v>270</v>
      </c>
      <c r="BX25" s="17"/>
      <c r="BY25" s="17"/>
      <c r="BZ25" s="17"/>
      <c r="CA25" s="17"/>
      <c r="CB25" s="22"/>
      <c r="CD25" s="21" t="s">
        <v>270</v>
      </c>
      <c r="CE25" s="17"/>
      <c r="CF25" s="17"/>
      <c r="CG25" s="17"/>
      <c r="CH25" s="17"/>
      <c r="CI25" s="22"/>
      <c r="CL25" s="21" t="s">
        <v>270</v>
      </c>
      <c r="CM25" s="17"/>
      <c r="CN25" s="17"/>
      <c r="CO25" s="17"/>
      <c r="CP25" s="17"/>
      <c r="CQ25" s="22"/>
      <c r="CS25" s="21" t="s">
        <v>270</v>
      </c>
      <c r="CT25" s="17"/>
      <c r="CU25" s="17"/>
      <c r="CV25" s="17"/>
      <c r="CW25" s="17"/>
      <c r="CX25" s="22"/>
      <c r="CZ25" s="21" t="s">
        <v>270</v>
      </c>
      <c r="DA25" s="17"/>
      <c r="DB25" s="17"/>
      <c r="DC25" s="17"/>
      <c r="DD25" s="17"/>
      <c r="DE25" s="22"/>
    </row>
    <row r="26" spans="2:109" s="52" customFormat="1" x14ac:dyDescent="0.2">
      <c r="B26" s="21"/>
      <c r="C26" s="17"/>
      <c r="D26" s="17"/>
      <c r="E26" s="17"/>
      <c r="F26" s="17"/>
      <c r="G26" s="22"/>
      <c r="J26" s="21"/>
      <c r="K26" s="17"/>
      <c r="L26" s="17"/>
      <c r="M26" s="17"/>
      <c r="N26" s="17"/>
      <c r="O26" s="22"/>
      <c r="R26" s="21"/>
      <c r="S26" s="17"/>
      <c r="T26" s="17"/>
      <c r="U26" s="17"/>
      <c r="V26" s="17"/>
      <c r="W26" s="22"/>
      <c r="Y26" s="21"/>
      <c r="Z26" s="17"/>
      <c r="AA26" s="17"/>
      <c r="AB26" s="17"/>
      <c r="AC26" s="17"/>
      <c r="AD26" s="22"/>
      <c r="AG26" s="21"/>
      <c r="AH26" s="17"/>
      <c r="AI26" s="17"/>
      <c r="AJ26" s="17"/>
      <c r="AK26" s="17"/>
      <c r="AL26" s="22"/>
      <c r="AN26" s="21"/>
      <c r="AO26" s="17"/>
      <c r="AP26" s="17"/>
      <c r="AQ26" s="17"/>
      <c r="AR26" s="17"/>
      <c r="AS26" s="22"/>
      <c r="AU26" s="21"/>
      <c r="AV26" s="17"/>
      <c r="AW26" s="17"/>
      <c r="AX26" s="17"/>
      <c r="AY26" s="17"/>
      <c r="AZ26" s="22"/>
      <c r="BB26" s="21"/>
      <c r="BC26" s="17"/>
      <c r="BD26" s="17"/>
      <c r="BE26" s="17"/>
      <c r="BF26" s="17"/>
      <c r="BG26" s="22"/>
      <c r="BI26" s="21"/>
      <c r="BJ26" s="17"/>
      <c r="BK26" s="17"/>
      <c r="BL26" s="17"/>
      <c r="BM26" s="17"/>
      <c r="BN26" s="22"/>
      <c r="BP26" s="21"/>
      <c r="BQ26" s="17"/>
      <c r="BR26" s="17"/>
      <c r="BS26" s="17"/>
      <c r="BT26" s="17"/>
      <c r="BU26" s="22"/>
      <c r="BW26" s="21"/>
      <c r="BX26" s="17"/>
      <c r="BY26" s="17"/>
      <c r="BZ26" s="17"/>
      <c r="CA26" s="17"/>
      <c r="CB26" s="22"/>
      <c r="CD26" s="21"/>
      <c r="CE26" s="17"/>
      <c r="CF26" s="17"/>
      <c r="CG26" s="17"/>
      <c r="CH26" s="17"/>
      <c r="CI26" s="22"/>
      <c r="CL26" s="21"/>
      <c r="CM26" s="17"/>
      <c r="CN26" s="17"/>
      <c r="CO26" s="17"/>
      <c r="CP26" s="17"/>
      <c r="CQ26" s="22"/>
      <c r="CS26" s="21"/>
      <c r="CT26" s="17"/>
      <c r="CU26" s="17"/>
      <c r="CV26" s="17"/>
      <c r="CW26" s="17"/>
      <c r="CX26" s="22"/>
      <c r="CZ26" s="21"/>
      <c r="DA26" s="17"/>
      <c r="DB26" s="17"/>
      <c r="DC26" s="17"/>
      <c r="DD26" s="17"/>
      <c r="DE26" s="22"/>
    </row>
    <row r="27" spans="2:109" x14ac:dyDescent="0.2">
      <c r="B27" s="148" t="s">
        <v>557</v>
      </c>
      <c r="C27" s="149"/>
      <c r="D27" s="149"/>
      <c r="E27" s="149"/>
      <c r="F27" s="149"/>
      <c r="G27" s="150"/>
      <c r="J27" s="148" t="s">
        <v>557</v>
      </c>
      <c r="K27" s="149"/>
      <c r="L27" s="149"/>
      <c r="M27" s="149"/>
      <c r="N27" s="149"/>
      <c r="O27" s="150"/>
      <c r="R27" s="148" t="s">
        <v>557</v>
      </c>
      <c r="S27" s="149"/>
      <c r="T27" s="149"/>
      <c r="U27" s="149"/>
      <c r="V27" s="149"/>
      <c r="W27" s="150"/>
      <c r="Y27" s="148" t="s">
        <v>557</v>
      </c>
      <c r="Z27" s="149"/>
      <c r="AA27" s="149"/>
      <c r="AB27" s="149"/>
      <c r="AC27" s="149"/>
      <c r="AD27" s="150"/>
      <c r="AG27" s="148" t="s">
        <v>557</v>
      </c>
      <c r="AH27" s="149"/>
      <c r="AI27" s="149"/>
      <c r="AJ27" s="149"/>
      <c r="AK27" s="149"/>
      <c r="AL27" s="150"/>
      <c r="AN27" s="148" t="s">
        <v>557</v>
      </c>
      <c r="AO27" s="149"/>
      <c r="AP27" s="149"/>
      <c r="AQ27" s="149"/>
      <c r="AR27" s="149"/>
      <c r="AS27" s="150"/>
      <c r="AU27" s="148" t="s">
        <v>557</v>
      </c>
      <c r="AV27" s="149"/>
      <c r="AW27" s="149"/>
      <c r="AX27" s="149"/>
      <c r="AY27" s="149"/>
      <c r="AZ27" s="150"/>
      <c r="BB27" s="148" t="s">
        <v>557</v>
      </c>
      <c r="BC27" s="149"/>
      <c r="BD27" s="149"/>
      <c r="BE27" s="149"/>
      <c r="BF27" s="149"/>
      <c r="BG27" s="150"/>
      <c r="BI27" s="148" t="s">
        <v>557</v>
      </c>
      <c r="BJ27" s="149"/>
      <c r="BK27" s="149"/>
      <c r="BL27" s="149"/>
      <c r="BM27" s="149"/>
      <c r="BN27" s="150"/>
      <c r="BP27" s="148" t="s">
        <v>557</v>
      </c>
      <c r="BQ27" s="149"/>
      <c r="BR27" s="149"/>
      <c r="BS27" s="149"/>
      <c r="BT27" s="149"/>
      <c r="BU27" s="150"/>
      <c r="BW27" s="148" t="s">
        <v>557</v>
      </c>
      <c r="BX27" s="149"/>
      <c r="BY27" s="149"/>
      <c r="BZ27" s="149"/>
      <c r="CA27" s="149"/>
      <c r="CB27" s="150"/>
      <c r="CD27" s="148" t="s">
        <v>557</v>
      </c>
      <c r="CE27" s="149"/>
      <c r="CF27" s="149"/>
      <c r="CG27" s="149"/>
      <c r="CH27" s="149"/>
      <c r="CI27" s="150"/>
      <c r="CL27" s="148" t="s">
        <v>557</v>
      </c>
      <c r="CM27" s="149"/>
      <c r="CN27" s="149"/>
      <c r="CO27" s="149"/>
      <c r="CP27" s="149"/>
      <c r="CQ27" s="150"/>
      <c r="CS27" s="148" t="s">
        <v>557</v>
      </c>
      <c r="CT27" s="149"/>
      <c r="CU27" s="149"/>
      <c r="CV27" s="149"/>
      <c r="CW27" s="149"/>
      <c r="CX27" s="150"/>
      <c r="CZ27" s="148" t="s">
        <v>557</v>
      </c>
      <c r="DA27" s="149"/>
      <c r="DB27" s="149"/>
      <c r="DC27" s="149"/>
      <c r="DD27" s="149"/>
      <c r="DE27" s="150"/>
    </row>
    <row r="28" spans="2:109" ht="15" x14ac:dyDescent="0.25">
      <c r="B28" s="21"/>
      <c r="C28" s="18" t="s">
        <v>259</v>
      </c>
      <c r="D28" s="18" t="s">
        <v>260</v>
      </c>
      <c r="E28" s="18" t="s">
        <v>263</v>
      </c>
      <c r="F28" s="19" t="s">
        <v>261</v>
      </c>
      <c r="G28" s="20" t="s">
        <v>262</v>
      </c>
      <c r="J28" s="21"/>
      <c r="K28" s="18" t="s">
        <v>259</v>
      </c>
      <c r="L28" s="18" t="s">
        <v>260</v>
      </c>
      <c r="M28" s="18" t="s">
        <v>263</v>
      </c>
      <c r="N28" s="19" t="s">
        <v>261</v>
      </c>
      <c r="O28" s="20" t="s">
        <v>262</v>
      </c>
      <c r="R28" s="21"/>
      <c r="S28" s="18" t="s">
        <v>259</v>
      </c>
      <c r="T28" s="18" t="s">
        <v>260</v>
      </c>
      <c r="U28" s="18" t="s">
        <v>263</v>
      </c>
      <c r="V28" s="19" t="s">
        <v>261</v>
      </c>
      <c r="W28" s="20" t="s">
        <v>262</v>
      </c>
      <c r="Y28" s="21"/>
      <c r="Z28" s="18" t="s">
        <v>259</v>
      </c>
      <c r="AA28" s="18" t="s">
        <v>260</v>
      </c>
      <c r="AB28" s="18" t="s">
        <v>263</v>
      </c>
      <c r="AC28" s="19" t="s">
        <v>261</v>
      </c>
      <c r="AD28" s="20" t="s">
        <v>262</v>
      </c>
      <c r="AG28" s="21"/>
      <c r="AH28" s="18" t="s">
        <v>259</v>
      </c>
      <c r="AI28" s="18" t="s">
        <v>260</v>
      </c>
      <c r="AJ28" s="18" t="s">
        <v>263</v>
      </c>
      <c r="AK28" s="19" t="s">
        <v>261</v>
      </c>
      <c r="AL28" s="20" t="s">
        <v>262</v>
      </c>
      <c r="AN28" s="21"/>
      <c r="AO28" s="18" t="s">
        <v>259</v>
      </c>
      <c r="AP28" s="18" t="s">
        <v>260</v>
      </c>
      <c r="AQ28" s="18" t="s">
        <v>263</v>
      </c>
      <c r="AR28" s="19" t="s">
        <v>261</v>
      </c>
      <c r="AS28" s="20" t="s">
        <v>262</v>
      </c>
      <c r="AU28" s="21"/>
      <c r="AV28" s="18" t="s">
        <v>259</v>
      </c>
      <c r="AW28" s="18" t="s">
        <v>260</v>
      </c>
      <c r="AX28" s="18" t="s">
        <v>263</v>
      </c>
      <c r="AY28" s="19" t="s">
        <v>261</v>
      </c>
      <c r="AZ28" s="20" t="s">
        <v>262</v>
      </c>
      <c r="BB28" s="21"/>
      <c r="BC28" s="18" t="s">
        <v>259</v>
      </c>
      <c r="BD28" s="18" t="s">
        <v>260</v>
      </c>
      <c r="BE28" s="18" t="s">
        <v>263</v>
      </c>
      <c r="BF28" s="19" t="s">
        <v>261</v>
      </c>
      <c r="BG28" s="20" t="s">
        <v>262</v>
      </c>
      <c r="BI28" s="21"/>
      <c r="BJ28" s="18" t="s">
        <v>259</v>
      </c>
      <c r="BK28" s="18" t="s">
        <v>260</v>
      </c>
      <c r="BL28" s="18" t="s">
        <v>263</v>
      </c>
      <c r="BM28" s="19" t="s">
        <v>261</v>
      </c>
      <c r="BN28" s="20" t="s">
        <v>262</v>
      </c>
      <c r="BP28" s="21"/>
      <c r="BQ28" s="18" t="s">
        <v>259</v>
      </c>
      <c r="BR28" s="18" t="s">
        <v>260</v>
      </c>
      <c r="BS28" s="18" t="s">
        <v>263</v>
      </c>
      <c r="BT28" s="19" t="s">
        <v>261</v>
      </c>
      <c r="BU28" s="20" t="s">
        <v>262</v>
      </c>
      <c r="BW28" s="21"/>
      <c r="BX28" s="18" t="s">
        <v>259</v>
      </c>
      <c r="BY28" s="18" t="s">
        <v>260</v>
      </c>
      <c r="BZ28" s="18" t="s">
        <v>263</v>
      </c>
      <c r="CA28" s="19" t="s">
        <v>261</v>
      </c>
      <c r="CB28" s="20" t="s">
        <v>262</v>
      </c>
      <c r="CD28" s="21"/>
      <c r="CE28" s="18" t="s">
        <v>259</v>
      </c>
      <c r="CF28" s="18" t="s">
        <v>260</v>
      </c>
      <c r="CG28" s="18" t="s">
        <v>263</v>
      </c>
      <c r="CH28" s="19" t="s">
        <v>261</v>
      </c>
      <c r="CI28" s="20" t="s">
        <v>262</v>
      </c>
      <c r="CL28" s="21"/>
      <c r="CM28" s="18" t="s">
        <v>259</v>
      </c>
      <c r="CN28" s="18" t="s">
        <v>260</v>
      </c>
      <c r="CO28" s="18" t="s">
        <v>263</v>
      </c>
      <c r="CP28" s="19" t="s">
        <v>261</v>
      </c>
      <c r="CQ28" s="20" t="s">
        <v>262</v>
      </c>
      <c r="CS28" s="21"/>
      <c r="CT28" s="18" t="s">
        <v>259</v>
      </c>
      <c r="CU28" s="18" t="s">
        <v>260</v>
      </c>
      <c r="CV28" s="18" t="s">
        <v>263</v>
      </c>
      <c r="CW28" s="19" t="s">
        <v>261</v>
      </c>
      <c r="CX28" s="20" t="s">
        <v>262</v>
      </c>
      <c r="CZ28" s="21"/>
      <c r="DA28" s="18" t="s">
        <v>259</v>
      </c>
      <c r="DB28" s="18" t="s">
        <v>260</v>
      </c>
      <c r="DC28" s="18" t="s">
        <v>263</v>
      </c>
      <c r="DD28" s="19" t="s">
        <v>261</v>
      </c>
      <c r="DE28" s="20" t="s">
        <v>262</v>
      </c>
    </row>
    <row r="29" spans="2:109" x14ac:dyDescent="0.2">
      <c r="B29" s="21">
        <v>7</v>
      </c>
      <c r="C29" s="17">
        <v>-874.87135899999998</v>
      </c>
      <c r="D29" s="17"/>
      <c r="E29" s="17" t="s">
        <v>594</v>
      </c>
      <c r="F29" s="17">
        <f>0.416307/2</f>
        <v>0.20815349999999999</v>
      </c>
      <c r="G29" s="22">
        <f>C29+F29</f>
        <v>-874.6632055</v>
      </c>
      <c r="J29" s="21">
        <v>7</v>
      </c>
      <c r="K29" s="17">
        <v>-876.18323899999996</v>
      </c>
      <c r="L29" s="17"/>
      <c r="M29" s="17" t="s">
        <v>639</v>
      </c>
      <c r="N29" s="17">
        <f>0.384232/2</f>
        <v>0.19211600000000001</v>
      </c>
      <c r="O29" s="22">
        <f>K29+N29</f>
        <v>-875.9911229999999</v>
      </c>
      <c r="R29" s="21">
        <v>7</v>
      </c>
      <c r="S29" s="17">
        <v>-882.65745900000002</v>
      </c>
      <c r="T29" s="17"/>
      <c r="U29" s="17" t="s">
        <v>600</v>
      </c>
      <c r="V29" s="17">
        <f>0.367713/2</f>
        <v>0.18385650000000001</v>
      </c>
      <c r="W29" s="22">
        <f>S29+V29</f>
        <v>-882.47360249999997</v>
      </c>
      <c r="Y29" s="21">
        <v>7</v>
      </c>
      <c r="Z29" s="17">
        <v>-880.39123600000005</v>
      </c>
      <c r="AA29" s="17"/>
      <c r="AB29" s="17" t="s">
        <v>583</v>
      </c>
      <c r="AC29" s="17">
        <f>0.371262/2</f>
        <v>0.18563099999999999</v>
      </c>
      <c r="AD29" s="22">
        <f>Z29+AC29</f>
        <v>-880.20560500000011</v>
      </c>
      <c r="AG29" s="21">
        <v>7</v>
      </c>
      <c r="AH29" s="17">
        <v>-882.16694500000006</v>
      </c>
      <c r="AI29" s="17"/>
      <c r="AJ29" s="17" t="s">
        <v>855</v>
      </c>
      <c r="AK29" s="17">
        <f>0.40854/2</f>
        <v>0.20427000000000001</v>
      </c>
      <c r="AL29" s="22">
        <f>AH29+AK29</f>
        <v>-881.9626750000001</v>
      </c>
      <c r="AN29" s="21">
        <v>7</v>
      </c>
      <c r="AO29" s="17">
        <v>-881.60460599999999</v>
      </c>
      <c r="AP29" s="17"/>
      <c r="AQ29" s="17" t="s">
        <v>613</v>
      </c>
      <c r="AR29" s="17">
        <f>0.435989/2</f>
        <v>0.21799450000000001</v>
      </c>
      <c r="AS29" s="22">
        <f>AO29+AR29</f>
        <v>-881.38661149999996</v>
      </c>
      <c r="AU29" s="21">
        <v>7</v>
      </c>
      <c r="AV29" s="17">
        <v>-879.96319300000005</v>
      </c>
      <c r="AW29" s="17"/>
      <c r="AX29" s="17" t="s">
        <v>570</v>
      </c>
      <c r="AY29" s="17">
        <f>0.44428/2</f>
        <v>0.22214</v>
      </c>
      <c r="AZ29" s="22">
        <f>AV29+AY29</f>
        <v>-879.74105300000008</v>
      </c>
      <c r="BB29" s="21">
        <v>7</v>
      </c>
      <c r="BC29" s="17">
        <v>-879.43215099999998</v>
      </c>
      <c r="BD29" s="17"/>
      <c r="BE29" s="17" t="s">
        <v>603</v>
      </c>
      <c r="BF29" s="17">
        <f>0.302422/2</f>
        <v>0.15121100000000001</v>
      </c>
      <c r="BG29" s="22">
        <f>BC29+BF29</f>
        <v>-879.28093999999999</v>
      </c>
      <c r="BI29" s="21">
        <v>7</v>
      </c>
      <c r="BJ29" s="17">
        <v>-871.02782100000002</v>
      </c>
      <c r="BK29" s="17"/>
      <c r="BL29" s="17" t="s">
        <v>646</v>
      </c>
      <c r="BM29" s="17">
        <f>0.242613/2</f>
        <v>0.1213065</v>
      </c>
      <c r="BN29" s="22">
        <f>BJ29+BM29</f>
        <v>-870.90651450000007</v>
      </c>
      <c r="BP29" s="21">
        <v>7</v>
      </c>
      <c r="BQ29" s="17">
        <v>-877.97626100000002</v>
      </c>
      <c r="BR29" s="17"/>
      <c r="BS29" s="17" t="s">
        <v>561</v>
      </c>
      <c r="BT29" s="17">
        <f>0.410542/2</f>
        <v>0.20527100000000001</v>
      </c>
      <c r="BU29" s="22">
        <f>BQ29+BT29</f>
        <v>-877.77098999999998</v>
      </c>
      <c r="BW29" s="21">
        <v>7</v>
      </c>
      <c r="BX29" s="17">
        <v>-884.14649499999996</v>
      </c>
      <c r="BY29" s="17"/>
      <c r="BZ29" s="17" t="s">
        <v>655</v>
      </c>
      <c r="CA29" s="17">
        <f>0.439439/2</f>
        <v>0.21971950000000001</v>
      </c>
      <c r="CB29" s="22">
        <f>BX29+CA29</f>
        <v>-883.92677549999996</v>
      </c>
      <c r="CD29" s="21">
        <v>7</v>
      </c>
      <c r="CE29" s="17">
        <v>-884.18078600000001</v>
      </c>
      <c r="CF29" s="17"/>
      <c r="CG29" s="17" t="s">
        <v>665</v>
      </c>
      <c r="CH29" s="17">
        <f>0.363099 /2</f>
        <v>0.1815495</v>
      </c>
      <c r="CI29" s="22">
        <f>CE29+CH29</f>
        <v>-883.99923650000005</v>
      </c>
      <c r="CL29" s="21">
        <v>7</v>
      </c>
      <c r="CM29" s="17">
        <v>-878.03486899999996</v>
      </c>
      <c r="CN29" s="17"/>
      <c r="CO29" s="17" t="s">
        <v>618</v>
      </c>
      <c r="CP29" s="17">
        <f>0.575996/2</f>
        <v>0.28799799999999998</v>
      </c>
      <c r="CQ29" s="22">
        <f>CM29+CP29</f>
        <v>-877.74687099999994</v>
      </c>
      <c r="CS29" s="21">
        <v>7</v>
      </c>
      <c r="CT29" s="17">
        <v>-876.25000699999998</v>
      </c>
      <c r="CU29" s="17"/>
      <c r="CV29" s="17" t="s">
        <v>625</v>
      </c>
      <c r="CW29" s="17">
        <f>0.342401/2</f>
        <v>0.17120050000000001</v>
      </c>
      <c r="CX29" s="22">
        <f>CT29+CW29</f>
        <v>-876.07880649999993</v>
      </c>
      <c r="CZ29" s="21">
        <v>7</v>
      </c>
      <c r="DA29" s="17">
        <v>-867.15054599999996</v>
      </c>
      <c r="DB29" s="17"/>
      <c r="DC29" s="17" t="s">
        <v>634</v>
      </c>
      <c r="DD29" s="17">
        <f>0.306848/2</f>
        <v>0.153424</v>
      </c>
      <c r="DE29" s="22">
        <f>DA29+DD29</f>
        <v>-866.99712199999999</v>
      </c>
    </row>
    <row r="30" spans="2:109" x14ac:dyDescent="0.2">
      <c r="B30" s="21" t="s">
        <v>270</v>
      </c>
      <c r="C30" s="17"/>
      <c r="D30" s="17"/>
      <c r="E30" s="17"/>
      <c r="F30" s="17"/>
      <c r="G30" s="22"/>
      <c r="J30" s="21" t="s">
        <v>270</v>
      </c>
      <c r="K30" s="17"/>
      <c r="L30" s="17"/>
      <c r="M30" s="17"/>
      <c r="N30" s="17"/>
      <c r="O30" s="22"/>
      <c r="R30" s="21" t="s">
        <v>270</v>
      </c>
      <c r="S30" s="17"/>
      <c r="T30" s="17"/>
      <c r="U30" s="17"/>
      <c r="V30" s="17"/>
      <c r="W30" s="22"/>
      <c r="Y30" s="21" t="s">
        <v>270</v>
      </c>
      <c r="Z30" s="17"/>
      <c r="AA30" s="17"/>
      <c r="AB30" s="17"/>
      <c r="AC30" s="17"/>
      <c r="AD30" s="22"/>
      <c r="AG30" s="21" t="s">
        <v>270</v>
      </c>
      <c r="AH30" s="17"/>
      <c r="AI30" s="17"/>
      <c r="AJ30" s="17"/>
      <c r="AK30" s="17"/>
      <c r="AL30" s="22"/>
      <c r="AN30" s="21" t="s">
        <v>270</v>
      </c>
      <c r="AO30" s="17"/>
      <c r="AP30" s="17"/>
      <c r="AQ30" s="17"/>
      <c r="AR30" s="17"/>
      <c r="AS30" s="22"/>
      <c r="AU30" s="21" t="s">
        <v>270</v>
      </c>
      <c r="AV30" s="17"/>
      <c r="AW30" s="17"/>
      <c r="AX30" s="17"/>
      <c r="AY30" s="17"/>
      <c r="AZ30" s="22"/>
      <c r="BB30" s="21" t="s">
        <v>270</v>
      </c>
      <c r="BC30" s="17"/>
      <c r="BD30" s="17"/>
      <c r="BE30" s="17"/>
      <c r="BF30" s="17"/>
      <c r="BG30" s="22"/>
      <c r="BI30" s="21" t="s">
        <v>270</v>
      </c>
      <c r="BJ30" s="17"/>
      <c r="BK30" s="17"/>
      <c r="BL30" s="17"/>
      <c r="BM30" s="17"/>
      <c r="BN30" s="22"/>
      <c r="BP30" s="21" t="s">
        <v>270</v>
      </c>
      <c r="BQ30" s="17"/>
      <c r="BR30" s="17"/>
      <c r="BS30" s="17"/>
      <c r="BT30" s="17"/>
      <c r="BU30" s="22"/>
      <c r="BW30" s="21" t="s">
        <v>270</v>
      </c>
      <c r="BX30" s="17"/>
      <c r="BY30" s="17"/>
      <c r="BZ30" s="17"/>
      <c r="CA30" s="17"/>
      <c r="CB30" s="22"/>
      <c r="CD30" s="21" t="s">
        <v>270</v>
      </c>
      <c r="CE30" s="17"/>
      <c r="CF30" s="17"/>
      <c r="CG30" s="17"/>
      <c r="CH30" s="17"/>
      <c r="CI30" s="22"/>
      <c r="CL30" s="21" t="s">
        <v>270</v>
      </c>
      <c r="CM30" s="17"/>
      <c r="CN30" s="17"/>
      <c r="CO30" s="17"/>
      <c r="CP30" s="17"/>
      <c r="CQ30" s="22"/>
      <c r="CS30" s="21" t="s">
        <v>270</v>
      </c>
      <c r="CT30" s="17"/>
      <c r="CU30" s="17"/>
      <c r="CV30" s="17"/>
      <c r="CW30" s="17"/>
      <c r="CX30" s="22"/>
      <c r="CZ30" s="21" t="s">
        <v>270</v>
      </c>
      <c r="DA30" s="17"/>
      <c r="DB30" s="17"/>
      <c r="DC30" s="17"/>
      <c r="DD30" s="17"/>
      <c r="DE30" s="22"/>
    </row>
    <row r="31" spans="2:109" x14ac:dyDescent="0.2">
      <c r="B31" s="21"/>
      <c r="C31" s="17"/>
      <c r="D31" s="17"/>
      <c r="E31" s="17"/>
      <c r="F31" s="17"/>
      <c r="G31" s="22"/>
      <c r="J31" s="21"/>
      <c r="K31" s="17"/>
      <c r="L31" s="17"/>
      <c r="M31" s="17"/>
      <c r="N31" s="17"/>
      <c r="O31" s="22"/>
      <c r="R31" s="21"/>
      <c r="S31" s="17"/>
      <c r="T31" s="17"/>
      <c r="U31" s="17"/>
      <c r="V31" s="17"/>
      <c r="W31" s="22"/>
      <c r="Y31" s="21"/>
      <c r="Z31" s="17"/>
      <c r="AA31" s="17"/>
      <c r="AB31" s="17"/>
      <c r="AC31" s="17"/>
      <c r="AD31" s="22"/>
      <c r="AG31" s="21"/>
      <c r="AH31" s="17"/>
      <c r="AI31" s="17"/>
      <c r="AJ31" s="17"/>
      <c r="AK31" s="17"/>
      <c r="AL31" s="22"/>
      <c r="AN31" s="21"/>
      <c r="AO31" s="17"/>
      <c r="AP31" s="17"/>
      <c r="AQ31" s="17"/>
      <c r="AR31" s="17"/>
      <c r="AS31" s="22"/>
      <c r="AU31" s="21"/>
      <c r="AV31" s="17"/>
      <c r="AW31" s="17"/>
      <c r="AX31" s="17"/>
      <c r="AY31" s="17"/>
      <c r="AZ31" s="22"/>
      <c r="BB31" s="21"/>
      <c r="BC31" s="17"/>
      <c r="BD31" s="17"/>
      <c r="BE31" s="17"/>
      <c r="BF31" s="17"/>
      <c r="BG31" s="22"/>
      <c r="BI31" s="21"/>
      <c r="BJ31" s="17"/>
      <c r="BK31" s="17"/>
      <c r="BL31" s="17"/>
      <c r="BM31" s="17"/>
      <c r="BN31" s="22"/>
      <c r="BP31" s="21"/>
      <c r="BQ31" s="17"/>
      <c r="BR31" s="17"/>
      <c r="BS31" s="17"/>
      <c r="BT31" s="17"/>
      <c r="BU31" s="22"/>
      <c r="BW31" s="21"/>
      <c r="BX31" s="17"/>
      <c r="BY31" s="17"/>
      <c r="BZ31" s="17"/>
      <c r="CA31" s="17"/>
      <c r="CB31" s="22"/>
      <c r="CD31" s="21"/>
      <c r="CE31" s="17"/>
      <c r="CF31" s="17"/>
      <c r="CG31" s="17"/>
      <c r="CH31" s="17"/>
      <c r="CI31" s="22"/>
      <c r="CL31" s="21"/>
      <c r="CM31" s="17"/>
      <c r="CN31" s="17"/>
      <c r="CO31" s="17"/>
      <c r="CP31" s="17"/>
      <c r="CQ31" s="22"/>
      <c r="CS31" s="21"/>
      <c r="CT31" s="17"/>
      <c r="CU31" s="17"/>
      <c r="CV31" s="17"/>
      <c r="CW31" s="17"/>
      <c r="CX31" s="22"/>
      <c r="CZ31" s="21"/>
      <c r="DA31" s="17"/>
      <c r="DB31" s="17"/>
      <c r="DC31" s="17"/>
      <c r="DD31" s="17"/>
      <c r="DE31" s="22"/>
    </row>
    <row r="32" spans="2:109" x14ac:dyDescent="0.2">
      <c r="B32" s="148" t="s">
        <v>526</v>
      </c>
      <c r="C32" s="149"/>
      <c r="D32" s="149"/>
      <c r="E32" s="149"/>
      <c r="F32" s="149"/>
      <c r="G32" s="150"/>
      <c r="J32" s="148" t="s">
        <v>526</v>
      </c>
      <c r="K32" s="149"/>
      <c r="L32" s="149"/>
      <c r="M32" s="149"/>
      <c r="N32" s="149"/>
      <c r="O32" s="150"/>
      <c r="R32" s="148" t="s">
        <v>526</v>
      </c>
      <c r="S32" s="149"/>
      <c r="T32" s="149"/>
      <c r="U32" s="149"/>
      <c r="V32" s="149"/>
      <c r="W32" s="150"/>
      <c r="Y32" s="148" t="s">
        <v>526</v>
      </c>
      <c r="Z32" s="149"/>
      <c r="AA32" s="149"/>
      <c r="AB32" s="149"/>
      <c r="AC32" s="149"/>
      <c r="AD32" s="150"/>
      <c r="AG32" s="148" t="s">
        <v>526</v>
      </c>
      <c r="AH32" s="149"/>
      <c r="AI32" s="149"/>
      <c r="AJ32" s="149"/>
      <c r="AK32" s="149"/>
      <c r="AL32" s="150"/>
      <c r="AN32" s="148" t="s">
        <v>526</v>
      </c>
      <c r="AO32" s="149"/>
      <c r="AP32" s="149"/>
      <c r="AQ32" s="149"/>
      <c r="AR32" s="149"/>
      <c r="AS32" s="150"/>
      <c r="AU32" s="148" t="s">
        <v>526</v>
      </c>
      <c r="AV32" s="149"/>
      <c r="AW32" s="149"/>
      <c r="AX32" s="149"/>
      <c r="AY32" s="149"/>
      <c r="AZ32" s="150"/>
      <c r="BB32" s="148" t="s">
        <v>526</v>
      </c>
      <c r="BC32" s="149"/>
      <c r="BD32" s="149"/>
      <c r="BE32" s="149"/>
      <c r="BF32" s="149"/>
      <c r="BG32" s="150"/>
      <c r="BI32" s="148" t="s">
        <v>526</v>
      </c>
      <c r="BJ32" s="149"/>
      <c r="BK32" s="149"/>
      <c r="BL32" s="149"/>
      <c r="BM32" s="149"/>
      <c r="BN32" s="150"/>
      <c r="BP32" s="148" t="s">
        <v>526</v>
      </c>
      <c r="BQ32" s="149"/>
      <c r="BR32" s="149"/>
      <c r="BS32" s="149"/>
      <c r="BT32" s="149"/>
      <c r="BU32" s="150"/>
      <c r="BW32" s="148" t="s">
        <v>526</v>
      </c>
      <c r="BX32" s="149"/>
      <c r="BY32" s="149"/>
      <c r="BZ32" s="149"/>
      <c r="CA32" s="149"/>
      <c r="CB32" s="150"/>
      <c r="CD32" s="148" t="s">
        <v>526</v>
      </c>
      <c r="CE32" s="149"/>
      <c r="CF32" s="149"/>
      <c r="CG32" s="149"/>
      <c r="CH32" s="149"/>
      <c r="CI32" s="150"/>
      <c r="CL32" s="148" t="s">
        <v>526</v>
      </c>
      <c r="CM32" s="149"/>
      <c r="CN32" s="149"/>
      <c r="CO32" s="149"/>
      <c r="CP32" s="149"/>
      <c r="CQ32" s="150"/>
      <c r="CS32" s="148" t="s">
        <v>526</v>
      </c>
      <c r="CT32" s="149"/>
      <c r="CU32" s="149"/>
      <c r="CV32" s="149"/>
      <c r="CW32" s="149"/>
      <c r="CX32" s="150"/>
      <c r="CZ32" s="148" t="s">
        <v>526</v>
      </c>
      <c r="DA32" s="149"/>
      <c r="DB32" s="149"/>
      <c r="DC32" s="149"/>
      <c r="DD32" s="149"/>
      <c r="DE32" s="150"/>
    </row>
    <row r="33" spans="2:110" ht="15" x14ac:dyDescent="0.25">
      <c r="B33" s="21"/>
      <c r="C33" s="18" t="s">
        <v>259</v>
      </c>
      <c r="D33" s="18" t="s">
        <v>260</v>
      </c>
      <c r="E33" s="18" t="s">
        <v>263</v>
      </c>
      <c r="F33" s="19" t="s">
        <v>261</v>
      </c>
      <c r="G33" s="20" t="s">
        <v>262</v>
      </c>
      <c r="J33" s="21"/>
      <c r="K33" s="18" t="s">
        <v>259</v>
      </c>
      <c r="L33" s="18" t="s">
        <v>260</v>
      </c>
      <c r="M33" s="18" t="s">
        <v>263</v>
      </c>
      <c r="N33" s="19" t="s">
        <v>261</v>
      </c>
      <c r="O33" s="20" t="s">
        <v>262</v>
      </c>
      <c r="R33" s="21"/>
      <c r="S33" s="18" t="s">
        <v>259</v>
      </c>
      <c r="T33" s="18" t="s">
        <v>260</v>
      </c>
      <c r="U33" s="18" t="s">
        <v>263</v>
      </c>
      <c r="V33" s="19" t="s">
        <v>261</v>
      </c>
      <c r="W33" s="20" t="s">
        <v>262</v>
      </c>
      <c r="Y33" s="21"/>
      <c r="Z33" s="18" t="s">
        <v>259</v>
      </c>
      <c r="AA33" s="18" t="s">
        <v>260</v>
      </c>
      <c r="AB33" s="18" t="s">
        <v>263</v>
      </c>
      <c r="AC33" s="19" t="s">
        <v>261</v>
      </c>
      <c r="AD33" s="20" t="s">
        <v>262</v>
      </c>
      <c r="AG33" s="21"/>
      <c r="AH33" s="18" t="s">
        <v>259</v>
      </c>
      <c r="AI33" s="18" t="s">
        <v>260</v>
      </c>
      <c r="AJ33" s="18" t="s">
        <v>263</v>
      </c>
      <c r="AK33" s="19" t="s">
        <v>261</v>
      </c>
      <c r="AL33" s="20" t="s">
        <v>262</v>
      </c>
      <c r="AN33" s="21"/>
      <c r="AO33" s="18" t="s">
        <v>259</v>
      </c>
      <c r="AP33" s="18" t="s">
        <v>260</v>
      </c>
      <c r="AQ33" s="18" t="s">
        <v>263</v>
      </c>
      <c r="AR33" s="19" t="s">
        <v>261</v>
      </c>
      <c r="AS33" s="20" t="s">
        <v>262</v>
      </c>
      <c r="AU33" s="21"/>
      <c r="AV33" s="18" t="s">
        <v>259</v>
      </c>
      <c r="AW33" s="18" t="s">
        <v>260</v>
      </c>
      <c r="AX33" s="18" t="s">
        <v>263</v>
      </c>
      <c r="AY33" s="19" t="s">
        <v>261</v>
      </c>
      <c r="AZ33" s="20" t="s">
        <v>262</v>
      </c>
      <c r="BB33" s="21"/>
      <c r="BC33" s="18" t="s">
        <v>259</v>
      </c>
      <c r="BD33" s="18" t="s">
        <v>260</v>
      </c>
      <c r="BE33" s="18" t="s">
        <v>263</v>
      </c>
      <c r="BF33" s="19" t="s">
        <v>261</v>
      </c>
      <c r="BG33" s="20" t="s">
        <v>262</v>
      </c>
      <c r="BI33" s="21"/>
      <c r="BJ33" s="18" t="s">
        <v>259</v>
      </c>
      <c r="BK33" s="18" t="s">
        <v>260</v>
      </c>
      <c r="BL33" s="18" t="s">
        <v>263</v>
      </c>
      <c r="BM33" s="19" t="s">
        <v>261</v>
      </c>
      <c r="BN33" s="20" t="s">
        <v>262</v>
      </c>
      <c r="BP33" s="21"/>
      <c r="BQ33" s="18" t="s">
        <v>259</v>
      </c>
      <c r="BR33" s="18" t="s">
        <v>260</v>
      </c>
      <c r="BS33" s="18" t="s">
        <v>263</v>
      </c>
      <c r="BT33" s="19" t="s">
        <v>261</v>
      </c>
      <c r="BU33" s="20" t="s">
        <v>262</v>
      </c>
      <c r="BW33" s="21"/>
      <c r="BX33" s="18" t="s">
        <v>259</v>
      </c>
      <c r="BY33" s="18" t="s">
        <v>260</v>
      </c>
      <c r="BZ33" s="18" t="s">
        <v>263</v>
      </c>
      <c r="CA33" s="19" t="s">
        <v>261</v>
      </c>
      <c r="CB33" s="20" t="s">
        <v>262</v>
      </c>
      <c r="CD33" s="21"/>
      <c r="CE33" s="18" t="s">
        <v>259</v>
      </c>
      <c r="CF33" s="18" t="s">
        <v>260</v>
      </c>
      <c r="CG33" s="18" t="s">
        <v>263</v>
      </c>
      <c r="CH33" s="19" t="s">
        <v>261</v>
      </c>
      <c r="CI33" s="20" t="s">
        <v>262</v>
      </c>
      <c r="CL33" s="21"/>
      <c r="CM33" s="18" t="s">
        <v>259</v>
      </c>
      <c r="CN33" s="18" t="s">
        <v>260</v>
      </c>
      <c r="CO33" s="18" t="s">
        <v>263</v>
      </c>
      <c r="CP33" s="19" t="s">
        <v>261</v>
      </c>
      <c r="CQ33" s="20" t="s">
        <v>262</v>
      </c>
      <c r="CS33" s="21"/>
      <c r="CT33" s="18" t="s">
        <v>259</v>
      </c>
      <c r="CU33" s="18" t="s">
        <v>260</v>
      </c>
      <c r="CV33" s="18" t="s">
        <v>263</v>
      </c>
      <c r="CW33" s="19" t="s">
        <v>261</v>
      </c>
      <c r="CX33" s="20" t="s">
        <v>262</v>
      </c>
      <c r="CZ33" s="21"/>
      <c r="DA33" s="18" t="s">
        <v>259</v>
      </c>
      <c r="DB33" s="18" t="s">
        <v>260</v>
      </c>
      <c r="DC33" s="18" t="s">
        <v>263</v>
      </c>
      <c r="DD33" s="19" t="s">
        <v>261</v>
      </c>
      <c r="DE33" s="20" t="s">
        <v>262</v>
      </c>
    </row>
    <row r="34" spans="2:110" x14ac:dyDescent="0.2">
      <c r="B34" s="21">
        <v>8</v>
      </c>
      <c r="C34" s="17">
        <v>-880.71477700000003</v>
      </c>
      <c r="D34" s="17"/>
      <c r="E34" s="18" t="s">
        <v>595</v>
      </c>
      <c r="F34" s="19">
        <f>0.992983/2</f>
        <v>0.49649149999999997</v>
      </c>
      <c r="G34" s="20">
        <f>C34+F34</f>
        <v>-880.21828549999998</v>
      </c>
      <c r="J34" s="21">
        <v>8</v>
      </c>
      <c r="K34" s="17">
        <v>-882.10511499999996</v>
      </c>
      <c r="L34" s="17"/>
      <c r="M34" s="18" t="s">
        <v>721</v>
      </c>
      <c r="N34" s="19">
        <f>1.077162/2</f>
        <v>0.53858099999999998</v>
      </c>
      <c r="O34" s="20">
        <f>K34+N34</f>
        <v>-881.56653399999993</v>
      </c>
      <c r="R34" s="21">
        <v>8</v>
      </c>
      <c r="S34" s="17">
        <v>-887.50219400000003</v>
      </c>
      <c r="T34" s="17"/>
      <c r="U34" s="18" t="s">
        <v>598</v>
      </c>
      <c r="V34" s="19">
        <f>0.848555/2</f>
        <v>0.42427749999999997</v>
      </c>
      <c r="W34" s="20">
        <f>S34+V34</f>
        <v>-887.07791650000001</v>
      </c>
      <c r="Y34" s="21">
        <v>8</v>
      </c>
      <c r="Z34" s="17">
        <v>-884.81011699999999</v>
      </c>
      <c r="AA34" s="17"/>
      <c r="AB34" s="18" t="s">
        <v>584</v>
      </c>
      <c r="AC34" s="19">
        <f>4.392039/2</f>
        <v>2.1960194999999998</v>
      </c>
      <c r="AD34" s="20">
        <f>Z34+AC34</f>
        <v>-882.61409749999996</v>
      </c>
      <c r="AG34" s="21">
        <v>8</v>
      </c>
      <c r="AH34" s="17">
        <v>-888.13661400000001</v>
      </c>
      <c r="AI34" s="17"/>
      <c r="AJ34" s="18" t="s">
        <v>856</v>
      </c>
      <c r="AK34" s="19">
        <f>1.068385/2</f>
        <v>0.53419249999999996</v>
      </c>
      <c r="AL34" s="20">
        <f>AH34+AK34</f>
        <v>-887.60242149999999</v>
      </c>
      <c r="AN34" s="21">
        <v>8</v>
      </c>
      <c r="AO34" s="17">
        <v>-885.57257100000004</v>
      </c>
      <c r="AP34" s="17"/>
      <c r="AQ34" s="18" t="s">
        <v>616</v>
      </c>
      <c r="AR34" s="19">
        <f>0.972727/2</f>
        <v>0.4863635</v>
      </c>
      <c r="AS34" s="20">
        <f>AO34+AR34</f>
        <v>-885.0862075</v>
      </c>
      <c r="AU34" s="21">
        <v>8</v>
      </c>
      <c r="AV34" s="17">
        <v>-885.75301999999999</v>
      </c>
      <c r="AW34" s="17"/>
      <c r="AX34" s="18" t="s">
        <v>571</v>
      </c>
      <c r="AY34" s="19">
        <f>1.11457/2</f>
        <v>0.55728500000000003</v>
      </c>
      <c r="AZ34" s="22">
        <f>AV34+AY34</f>
        <v>-885.19573500000001</v>
      </c>
      <c r="BB34" s="21">
        <v>8</v>
      </c>
      <c r="BC34" s="17">
        <v>-885.69005100000004</v>
      </c>
      <c r="BD34" s="17"/>
      <c r="BE34" s="18" t="s">
        <v>607</v>
      </c>
      <c r="BF34" s="19">
        <f>0.899497/2</f>
        <v>0.4497485</v>
      </c>
      <c r="BG34" s="22">
        <f>BC34+BF34</f>
        <v>-885.24030249999998</v>
      </c>
      <c r="BI34" s="21">
        <v>8</v>
      </c>
      <c r="BJ34" s="17">
        <v>-876.76172299999996</v>
      </c>
      <c r="BK34" s="17"/>
      <c r="BL34" s="18" t="s">
        <v>647</v>
      </c>
      <c r="BM34" s="19">
        <f>1.04201/2</f>
        <v>0.52100500000000005</v>
      </c>
      <c r="BN34" s="22">
        <f>BJ34+BM34</f>
        <v>-876.24071800000002</v>
      </c>
      <c r="BP34" s="21">
        <v>8</v>
      </c>
      <c r="BQ34" s="17">
        <v>-883.69648500000005</v>
      </c>
      <c r="BR34" s="17"/>
      <c r="BS34" s="18" t="s">
        <v>549</v>
      </c>
      <c r="BT34" s="19">
        <f>0.982849/2</f>
        <v>0.49142449999999999</v>
      </c>
      <c r="BU34" s="22">
        <f>BQ34+BT34</f>
        <v>-883.20506050000006</v>
      </c>
      <c r="BW34" s="21">
        <v>8</v>
      </c>
      <c r="BX34" s="17">
        <v>-887.76786500000003</v>
      </c>
      <c r="BY34" s="17"/>
      <c r="BZ34" s="18" t="s">
        <v>656</v>
      </c>
      <c r="CA34" s="19">
        <f>0.942125/2</f>
        <v>0.4710625</v>
      </c>
      <c r="CB34" s="22">
        <f>BX34+CA34</f>
        <v>-887.29680250000001</v>
      </c>
      <c r="CD34" s="21">
        <v>8</v>
      </c>
      <c r="CE34" s="17">
        <v>-890.17930100000001</v>
      </c>
      <c r="CF34" s="17"/>
      <c r="CG34" s="18" t="s">
        <v>666</v>
      </c>
      <c r="CH34" s="19">
        <f>1.023111/2</f>
        <v>0.51155550000000005</v>
      </c>
      <c r="CI34" s="20">
        <f>CE34+CH34</f>
        <v>-889.66774550000002</v>
      </c>
      <c r="CL34" s="21">
        <v>8</v>
      </c>
      <c r="CM34" s="17">
        <v>-883.16434000000004</v>
      </c>
      <c r="CN34" s="17"/>
      <c r="CO34" s="18" t="s">
        <v>621</v>
      </c>
      <c r="CP34" s="19">
        <f>1.160297/2</f>
        <v>0.58014849999999996</v>
      </c>
      <c r="CQ34" s="20">
        <f>CM34+CP34</f>
        <v>-882.58419150000009</v>
      </c>
      <c r="CS34" s="21">
        <v>8</v>
      </c>
      <c r="CT34" s="17">
        <v>-882.14252699999997</v>
      </c>
      <c r="CU34" s="17"/>
      <c r="CV34" s="18" t="s">
        <v>627</v>
      </c>
      <c r="CW34" s="19">
        <f>0.98388/2</f>
        <v>0.49193999999999999</v>
      </c>
      <c r="CX34" s="20">
        <f>CT34+CW34</f>
        <v>-881.65058699999997</v>
      </c>
      <c r="CZ34" s="21">
        <v>8</v>
      </c>
      <c r="DA34" s="17">
        <v>-873.22506599999997</v>
      </c>
      <c r="DB34" s="17"/>
      <c r="DC34" s="18" t="s">
        <v>635</v>
      </c>
      <c r="DD34" s="19">
        <f>1.089971/2</f>
        <v>0.54498550000000001</v>
      </c>
      <c r="DE34" s="20">
        <f>DA34+DD34</f>
        <v>-872.68008049999992</v>
      </c>
    </row>
    <row r="35" spans="2:110" x14ac:dyDescent="0.2">
      <c r="B35" s="21" t="s">
        <v>270</v>
      </c>
      <c r="C35" s="17"/>
      <c r="D35" s="17"/>
      <c r="E35" s="17"/>
      <c r="F35" s="17"/>
      <c r="G35" s="22"/>
      <c r="J35" s="21" t="s">
        <v>270</v>
      </c>
      <c r="K35" s="17"/>
      <c r="L35" s="17"/>
      <c r="M35" s="17"/>
      <c r="N35" s="17"/>
      <c r="O35" s="22"/>
      <c r="R35" s="21" t="s">
        <v>270</v>
      </c>
      <c r="S35" s="17"/>
      <c r="T35" s="17"/>
      <c r="U35" s="17"/>
      <c r="V35" s="17"/>
      <c r="W35" s="22"/>
      <c r="Y35" s="21" t="s">
        <v>270</v>
      </c>
      <c r="Z35" s="17"/>
      <c r="AA35" s="17"/>
      <c r="AB35" s="17"/>
      <c r="AC35" s="17"/>
      <c r="AD35" s="22"/>
      <c r="AG35" s="21" t="s">
        <v>270</v>
      </c>
      <c r="AH35" s="17"/>
      <c r="AI35" s="17"/>
      <c r="AJ35" s="17"/>
      <c r="AK35" s="17"/>
      <c r="AL35" s="22"/>
      <c r="AN35" s="21" t="s">
        <v>270</v>
      </c>
      <c r="AO35" s="17"/>
      <c r="AP35" s="17"/>
      <c r="AQ35" s="17"/>
      <c r="AR35" s="17"/>
      <c r="AS35" s="22"/>
      <c r="AU35" s="21" t="s">
        <v>270</v>
      </c>
      <c r="AV35" s="17"/>
      <c r="AW35" s="17"/>
      <c r="AX35" s="17"/>
      <c r="AY35" s="17"/>
      <c r="AZ35" s="22"/>
      <c r="BB35" s="21" t="s">
        <v>270</v>
      </c>
      <c r="BC35" s="17"/>
      <c r="BD35" s="17"/>
      <c r="BE35" s="17"/>
      <c r="BF35" s="17"/>
      <c r="BG35" s="22"/>
      <c r="BI35" s="21" t="s">
        <v>270</v>
      </c>
      <c r="BJ35" s="17"/>
      <c r="BK35" s="17"/>
      <c r="BL35" s="17"/>
      <c r="BM35" s="17"/>
      <c r="BN35" s="22"/>
      <c r="BP35" s="21" t="s">
        <v>270</v>
      </c>
      <c r="BQ35" s="17"/>
      <c r="BR35" s="17"/>
      <c r="BS35" s="17"/>
      <c r="BT35" s="17"/>
      <c r="BU35" s="22"/>
      <c r="BW35" s="21" t="s">
        <v>270</v>
      </c>
      <c r="BX35" s="17"/>
      <c r="BY35" s="17"/>
      <c r="BZ35" s="17"/>
      <c r="CA35" s="17"/>
      <c r="CB35" s="22"/>
      <c r="CD35" s="21" t="s">
        <v>270</v>
      </c>
      <c r="CE35" s="17"/>
      <c r="CF35" s="17"/>
      <c r="CG35" s="17"/>
      <c r="CH35" s="17"/>
      <c r="CI35" s="22"/>
      <c r="CL35" s="21" t="s">
        <v>270</v>
      </c>
      <c r="CM35" s="17"/>
      <c r="CN35" s="17"/>
      <c r="CO35" s="17"/>
      <c r="CP35" s="17"/>
      <c r="CQ35" s="22"/>
      <c r="CS35" s="21" t="s">
        <v>270</v>
      </c>
      <c r="CT35" s="17"/>
      <c r="CU35" s="17"/>
      <c r="CV35" s="17"/>
      <c r="CW35" s="17"/>
      <c r="CX35" s="22"/>
      <c r="CZ35" s="21" t="s">
        <v>270</v>
      </c>
      <c r="DA35" s="17"/>
      <c r="DB35" s="17"/>
      <c r="DC35" s="17"/>
      <c r="DD35" s="17"/>
      <c r="DE35" s="22"/>
    </row>
    <row r="36" spans="2:110" x14ac:dyDescent="0.2">
      <c r="B36" s="21"/>
      <c r="C36" s="17"/>
      <c r="D36" s="17"/>
      <c r="E36" s="17"/>
      <c r="F36" s="17"/>
      <c r="G36" s="22"/>
      <c r="J36" s="21"/>
      <c r="K36" s="17"/>
      <c r="L36" s="17"/>
      <c r="M36" s="17"/>
      <c r="N36" s="17"/>
      <c r="O36" s="22"/>
      <c r="R36" s="21"/>
      <c r="S36" s="17"/>
      <c r="T36" s="17"/>
      <c r="U36" s="17"/>
      <c r="V36" s="17"/>
      <c r="W36" s="22"/>
      <c r="Y36" s="21"/>
      <c r="Z36" s="17"/>
      <c r="AA36" s="17"/>
      <c r="AB36" s="17"/>
      <c r="AC36" s="17"/>
      <c r="AD36" s="22"/>
      <c r="AG36" s="21"/>
      <c r="AH36" s="17"/>
      <c r="AI36" s="17"/>
      <c r="AJ36" s="17"/>
      <c r="AK36" s="17"/>
      <c r="AL36" s="22"/>
      <c r="AN36" s="21"/>
      <c r="AO36" s="17"/>
      <c r="AP36" s="17"/>
      <c r="AQ36" s="17"/>
      <c r="AR36" s="17"/>
      <c r="AS36" s="22"/>
      <c r="AU36" s="21"/>
      <c r="AV36" s="17"/>
      <c r="AW36" s="17"/>
      <c r="AX36" s="17"/>
      <c r="AY36" s="17"/>
      <c r="AZ36" s="22"/>
      <c r="BB36" s="21"/>
      <c r="BC36" s="17"/>
      <c r="BD36" s="17"/>
      <c r="BE36" s="17"/>
      <c r="BF36" s="17"/>
      <c r="BG36" s="22"/>
      <c r="BI36" s="21"/>
      <c r="BJ36" s="17"/>
      <c r="BK36" s="17"/>
      <c r="BL36" s="17"/>
      <c r="BM36" s="17"/>
      <c r="BN36" s="22"/>
      <c r="BP36" s="21"/>
      <c r="BQ36" s="17"/>
      <c r="BR36" s="17"/>
      <c r="BS36" s="17"/>
      <c r="BT36" s="17"/>
      <c r="BU36" s="22"/>
      <c r="BW36" s="21"/>
      <c r="BX36" s="17"/>
      <c r="BY36" s="17"/>
      <c r="BZ36" s="17"/>
      <c r="CA36" s="17"/>
      <c r="CB36" s="22"/>
      <c r="CD36" s="21"/>
      <c r="CE36" s="17"/>
      <c r="CF36" s="17"/>
      <c r="CG36" s="17"/>
      <c r="CH36" s="17"/>
      <c r="CI36" s="22"/>
      <c r="CL36" s="21"/>
      <c r="CM36" s="17"/>
      <c r="CN36" s="17"/>
      <c r="CO36" s="17"/>
      <c r="CP36" s="17"/>
      <c r="CQ36" s="22"/>
      <c r="CS36" s="21"/>
      <c r="CT36" s="17"/>
      <c r="CU36" s="17"/>
      <c r="CV36" s="17"/>
      <c r="CW36" s="17"/>
      <c r="CX36" s="22"/>
      <c r="CZ36" s="21"/>
      <c r="DA36" s="17"/>
      <c r="DB36" s="17"/>
      <c r="DC36" s="17"/>
      <c r="DD36" s="17"/>
      <c r="DE36" s="22"/>
    </row>
    <row r="37" spans="2:110" x14ac:dyDescent="0.2">
      <c r="B37" s="148" t="s">
        <v>529</v>
      </c>
      <c r="C37" s="149"/>
      <c r="D37" s="149"/>
      <c r="E37" s="149"/>
      <c r="F37" s="149"/>
      <c r="G37" s="150"/>
      <c r="J37" s="148" t="s">
        <v>529</v>
      </c>
      <c r="K37" s="149"/>
      <c r="L37" s="149"/>
      <c r="M37" s="149"/>
      <c r="N37" s="149"/>
      <c r="O37" s="150"/>
      <c r="R37" s="148" t="s">
        <v>529</v>
      </c>
      <c r="S37" s="149"/>
      <c r="T37" s="149"/>
      <c r="U37" s="149"/>
      <c r="V37" s="149"/>
      <c r="W37" s="150"/>
      <c r="Y37" s="148" t="s">
        <v>529</v>
      </c>
      <c r="Z37" s="149"/>
      <c r="AA37" s="149"/>
      <c r="AB37" s="149"/>
      <c r="AC37" s="149"/>
      <c r="AD37" s="150"/>
      <c r="AG37" s="148" t="s">
        <v>529</v>
      </c>
      <c r="AH37" s="149"/>
      <c r="AI37" s="149"/>
      <c r="AJ37" s="149"/>
      <c r="AK37" s="149"/>
      <c r="AL37" s="150"/>
      <c r="AN37" s="148" t="s">
        <v>529</v>
      </c>
      <c r="AO37" s="149"/>
      <c r="AP37" s="149"/>
      <c r="AQ37" s="149"/>
      <c r="AR37" s="149"/>
      <c r="AS37" s="150"/>
      <c r="AU37" s="148" t="s">
        <v>529</v>
      </c>
      <c r="AV37" s="149"/>
      <c r="AW37" s="149"/>
      <c r="AX37" s="149"/>
      <c r="AY37" s="149"/>
      <c r="AZ37" s="150"/>
      <c r="BB37" s="148" t="s">
        <v>529</v>
      </c>
      <c r="BC37" s="149"/>
      <c r="BD37" s="149"/>
      <c r="BE37" s="149"/>
      <c r="BF37" s="149"/>
      <c r="BG37" s="150"/>
      <c r="BI37" s="148" t="s">
        <v>529</v>
      </c>
      <c r="BJ37" s="149"/>
      <c r="BK37" s="149"/>
      <c r="BL37" s="149"/>
      <c r="BM37" s="149"/>
      <c r="BN37" s="150"/>
      <c r="BP37" s="148" t="s">
        <v>529</v>
      </c>
      <c r="BQ37" s="149"/>
      <c r="BR37" s="149"/>
      <c r="BS37" s="149"/>
      <c r="BT37" s="149"/>
      <c r="BU37" s="150"/>
      <c r="BW37" s="148" t="s">
        <v>529</v>
      </c>
      <c r="BX37" s="149"/>
      <c r="BY37" s="149"/>
      <c r="BZ37" s="149"/>
      <c r="CA37" s="149"/>
      <c r="CB37" s="150"/>
      <c r="CD37" s="148" t="s">
        <v>529</v>
      </c>
      <c r="CE37" s="149"/>
      <c r="CF37" s="149"/>
      <c r="CG37" s="149"/>
      <c r="CH37" s="149"/>
      <c r="CI37" s="150"/>
      <c r="CL37" s="148" t="s">
        <v>529</v>
      </c>
      <c r="CM37" s="149"/>
      <c r="CN37" s="149"/>
      <c r="CO37" s="149"/>
      <c r="CP37" s="149"/>
      <c r="CQ37" s="150"/>
      <c r="CS37" s="148" t="s">
        <v>529</v>
      </c>
      <c r="CT37" s="149"/>
      <c r="CU37" s="149"/>
      <c r="CV37" s="149"/>
      <c r="CW37" s="149"/>
      <c r="CX37" s="150"/>
      <c r="CZ37" s="148" t="s">
        <v>529</v>
      </c>
      <c r="DA37" s="149"/>
      <c r="DB37" s="149"/>
      <c r="DC37" s="149"/>
      <c r="DD37" s="149"/>
      <c r="DE37" s="150"/>
    </row>
    <row r="38" spans="2:110" ht="15" x14ac:dyDescent="0.25">
      <c r="B38" s="21"/>
      <c r="C38" s="18" t="s">
        <v>259</v>
      </c>
      <c r="D38" s="18" t="s">
        <v>260</v>
      </c>
      <c r="E38" s="18" t="s">
        <v>263</v>
      </c>
      <c r="F38" s="19" t="s">
        <v>261</v>
      </c>
      <c r="G38" s="20" t="s">
        <v>262</v>
      </c>
      <c r="J38" s="21"/>
      <c r="K38" s="18" t="s">
        <v>259</v>
      </c>
      <c r="L38" s="18" t="s">
        <v>260</v>
      </c>
      <c r="M38" s="18" t="s">
        <v>263</v>
      </c>
      <c r="N38" s="19" t="s">
        <v>261</v>
      </c>
      <c r="O38" s="20" t="s">
        <v>262</v>
      </c>
      <c r="R38" s="21"/>
      <c r="S38" s="18" t="s">
        <v>259</v>
      </c>
      <c r="T38" s="18" t="s">
        <v>260</v>
      </c>
      <c r="U38" s="18" t="s">
        <v>263</v>
      </c>
      <c r="V38" s="19" t="s">
        <v>261</v>
      </c>
      <c r="W38" s="20" t="s">
        <v>262</v>
      </c>
      <c r="Y38" s="21"/>
      <c r="Z38" s="18" t="s">
        <v>259</v>
      </c>
      <c r="AA38" s="18" t="s">
        <v>260</v>
      </c>
      <c r="AB38" s="18" t="s">
        <v>263</v>
      </c>
      <c r="AC38" s="19" t="s">
        <v>261</v>
      </c>
      <c r="AD38" s="20" t="s">
        <v>262</v>
      </c>
      <c r="AG38" s="21"/>
      <c r="AH38" s="18" t="s">
        <v>259</v>
      </c>
      <c r="AI38" s="18" t="s">
        <v>260</v>
      </c>
      <c r="AJ38" s="18" t="s">
        <v>263</v>
      </c>
      <c r="AK38" s="19" t="s">
        <v>261</v>
      </c>
      <c r="AL38" s="20" t="s">
        <v>262</v>
      </c>
      <c r="AN38" s="21"/>
      <c r="AO38" s="18" t="s">
        <v>259</v>
      </c>
      <c r="AP38" s="18" t="s">
        <v>260</v>
      </c>
      <c r="AQ38" s="18" t="s">
        <v>263</v>
      </c>
      <c r="AR38" s="19" t="s">
        <v>261</v>
      </c>
      <c r="AS38" s="20" t="s">
        <v>262</v>
      </c>
      <c r="AU38" s="21"/>
      <c r="AV38" s="18" t="s">
        <v>259</v>
      </c>
      <c r="AW38" s="18" t="s">
        <v>260</v>
      </c>
      <c r="AX38" s="18" t="s">
        <v>263</v>
      </c>
      <c r="AY38" s="19" t="s">
        <v>261</v>
      </c>
      <c r="AZ38" s="20" t="s">
        <v>262</v>
      </c>
      <c r="BB38" s="21"/>
      <c r="BC38" s="18" t="s">
        <v>259</v>
      </c>
      <c r="BD38" s="18" t="s">
        <v>260</v>
      </c>
      <c r="BE38" s="18" t="s">
        <v>263</v>
      </c>
      <c r="BF38" s="19" t="s">
        <v>261</v>
      </c>
      <c r="BG38" s="20" t="s">
        <v>262</v>
      </c>
      <c r="BI38" s="21"/>
      <c r="BJ38" s="18" t="s">
        <v>259</v>
      </c>
      <c r="BK38" s="18" t="s">
        <v>260</v>
      </c>
      <c r="BL38" s="18" t="s">
        <v>263</v>
      </c>
      <c r="BM38" s="19" t="s">
        <v>261</v>
      </c>
      <c r="BN38" s="20" t="s">
        <v>262</v>
      </c>
      <c r="BP38" s="21"/>
      <c r="BQ38" s="18" t="s">
        <v>259</v>
      </c>
      <c r="BR38" s="18" t="s">
        <v>260</v>
      </c>
      <c r="BS38" s="18" t="s">
        <v>263</v>
      </c>
      <c r="BT38" s="19" t="s">
        <v>261</v>
      </c>
      <c r="BU38" s="20" t="s">
        <v>262</v>
      </c>
      <c r="BW38" s="21"/>
      <c r="BX38" s="18" t="s">
        <v>259</v>
      </c>
      <c r="BY38" s="18" t="s">
        <v>260</v>
      </c>
      <c r="BZ38" s="18" t="s">
        <v>263</v>
      </c>
      <c r="CA38" s="19" t="s">
        <v>261</v>
      </c>
      <c r="CB38" s="20" t="s">
        <v>262</v>
      </c>
      <c r="CD38" s="21"/>
      <c r="CE38" s="18" t="s">
        <v>259</v>
      </c>
      <c r="CF38" s="18" t="s">
        <v>260</v>
      </c>
      <c r="CG38" s="18" t="s">
        <v>263</v>
      </c>
      <c r="CH38" s="19" t="s">
        <v>261</v>
      </c>
      <c r="CI38" s="20" t="s">
        <v>262</v>
      </c>
      <c r="CL38" s="21"/>
      <c r="CM38" s="18" t="s">
        <v>259</v>
      </c>
      <c r="CN38" s="18" t="s">
        <v>260</v>
      </c>
      <c r="CO38" s="18" t="s">
        <v>263</v>
      </c>
      <c r="CP38" s="19" t="s">
        <v>261</v>
      </c>
      <c r="CQ38" s="20" t="s">
        <v>262</v>
      </c>
      <c r="CS38" s="21"/>
      <c r="CT38" s="18" t="s">
        <v>259</v>
      </c>
      <c r="CU38" s="18" t="s">
        <v>260</v>
      </c>
      <c r="CV38" s="18" t="s">
        <v>263</v>
      </c>
      <c r="CW38" s="19" t="s">
        <v>261</v>
      </c>
      <c r="CX38" s="20" t="s">
        <v>262</v>
      </c>
      <c r="CZ38" s="21"/>
      <c r="DA38" s="18" t="s">
        <v>259</v>
      </c>
      <c r="DB38" s="18" t="s">
        <v>260</v>
      </c>
      <c r="DC38" s="18" t="s">
        <v>263</v>
      </c>
      <c r="DD38" s="19" t="s">
        <v>261</v>
      </c>
      <c r="DE38" s="20" t="s">
        <v>262</v>
      </c>
    </row>
    <row r="39" spans="2:110" x14ac:dyDescent="0.2">
      <c r="B39" s="21">
        <v>9</v>
      </c>
      <c r="C39" s="17">
        <v>-885.76454100000001</v>
      </c>
      <c r="D39" s="17"/>
      <c r="E39" s="17" t="s">
        <v>596</v>
      </c>
      <c r="F39" s="17">
        <f>1.455101/2</f>
        <v>0.72755049999999999</v>
      </c>
      <c r="G39" s="22">
        <f>C39+F39</f>
        <v>-885.0369905</v>
      </c>
      <c r="J39" s="21">
        <v>9</v>
      </c>
      <c r="K39" s="17">
        <v>-886.89529500000003</v>
      </c>
      <c r="L39" s="17"/>
      <c r="M39" s="17" t="s">
        <v>640</v>
      </c>
      <c r="N39" s="17">
        <f>1.447299/2</f>
        <v>0.72364949999999995</v>
      </c>
      <c r="O39" s="22">
        <f>K39+N39</f>
        <v>-886.17164550000007</v>
      </c>
      <c r="R39" s="21">
        <v>9</v>
      </c>
      <c r="S39" s="17">
        <v>-893.44572300000004</v>
      </c>
      <c r="T39" s="17"/>
      <c r="U39" s="17" t="s">
        <v>601</v>
      </c>
      <c r="V39" s="17">
        <f>1.37441/2</f>
        <v>0.68720499999999995</v>
      </c>
      <c r="W39" s="22">
        <f>S39+V39</f>
        <v>-892.75851800000009</v>
      </c>
      <c r="Y39" s="21">
        <v>9</v>
      </c>
      <c r="Z39" s="17">
        <v>-888.45349499999998</v>
      </c>
      <c r="AA39" s="17"/>
      <c r="AB39" s="17" t="s">
        <v>585</v>
      </c>
      <c r="AC39" s="17">
        <f>1.420601/2</f>
        <v>0.7103005</v>
      </c>
      <c r="AD39" s="22">
        <f>Z39+AC39</f>
        <v>-887.74319449999996</v>
      </c>
      <c r="AG39" s="21">
        <v>9</v>
      </c>
      <c r="AH39" s="17">
        <v>-891.14119300000004</v>
      </c>
      <c r="AI39" s="17"/>
      <c r="AJ39" s="17" t="s">
        <v>857</v>
      </c>
      <c r="AK39" s="17">
        <f>1.365199/2</f>
        <v>0.68259950000000003</v>
      </c>
      <c r="AL39" s="22">
        <f>AH39+AK39</f>
        <v>-890.45859350000001</v>
      </c>
      <c r="AN39" s="21">
        <v>9</v>
      </c>
      <c r="AO39" s="17">
        <v>-889.058629</v>
      </c>
      <c r="AP39" s="17"/>
      <c r="AQ39" s="17" t="s">
        <v>617</v>
      </c>
      <c r="AR39" s="17">
        <f>1.42928/2</f>
        <v>0.71464000000000005</v>
      </c>
      <c r="AS39" s="22">
        <f>AO39+AR39</f>
        <v>-888.34398899999997</v>
      </c>
      <c r="AU39" s="21">
        <v>9</v>
      </c>
      <c r="AV39" s="17">
        <v>-889.80181200000004</v>
      </c>
      <c r="AW39" s="17"/>
      <c r="AX39" s="17" t="s">
        <v>572</v>
      </c>
      <c r="AY39" s="17">
        <f>1.482316/2</f>
        <v>0.74115799999999998</v>
      </c>
      <c r="AZ39" s="22">
        <f>AV39+AY39</f>
        <v>-889.060654</v>
      </c>
      <c r="BB39" s="21">
        <v>9</v>
      </c>
      <c r="BC39" s="17">
        <v>-891.68189400000006</v>
      </c>
      <c r="BD39" s="17"/>
      <c r="BE39" s="17" t="s">
        <v>608</v>
      </c>
      <c r="BF39" s="17">
        <f>1.415553/2</f>
        <v>0.70777650000000003</v>
      </c>
      <c r="BG39" s="22">
        <f>BC39+BF39</f>
        <v>-890.97411750000003</v>
      </c>
      <c r="BI39" s="21">
        <v>9</v>
      </c>
      <c r="BJ39" s="17">
        <v>-882.38744999999994</v>
      </c>
      <c r="BK39" s="17"/>
      <c r="BL39" s="17" t="s">
        <v>649</v>
      </c>
      <c r="BM39" s="17">
        <f>1.436994/2</f>
        <v>0.71849700000000005</v>
      </c>
      <c r="BN39" s="22">
        <f>BJ39+BM39</f>
        <v>-881.66895299999999</v>
      </c>
      <c r="BP39" s="21">
        <v>9</v>
      </c>
      <c r="BQ39" s="17">
        <v>-889.81816200000003</v>
      </c>
      <c r="BR39" s="17"/>
      <c r="BS39" s="17" t="s">
        <v>552</v>
      </c>
      <c r="BT39" s="17">
        <f>1.594303/2</f>
        <v>0.79715150000000001</v>
      </c>
      <c r="BU39" s="22">
        <f>BQ39+BT39</f>
        <v>-889.02101049999999</v>
      </c>
      <c r="BW39" s="21">
        <v>9</v>
      </c>
      <c r="BX39" s="17">
        <v>-891.41002300000002</v>
      </c>
      <c r="BY39" s="17"/>
      <c r="BZ39" s="17" t="s">
        <v>657</v>
      </c>
      <c r="CA39" s="17">
        <f>1.405446/2</f>
        <v>0.70272299999999999</v>
      </c>
      <c r="CB39" s="22">
        <f>BX39+CA39</f>
        <v>-890.70730000000003</v>
      </c>
      <c r="CD39" s="21">
        <v>9</v>
      </c>
      <c r="CE39" s="17">
        <v>-892.94577200000003</v>
      </c>
      <c r="CF39" s="17"/>
      <c r="CG39" s="17" t="s">
        <v>667</v>
      </c>
      <c r="CH39" s="17">
        <f>1.417509/2</f>
        <v>0.70875449999999995</v>
      </c>
      <c r="CI39" s="22">
        <f>CE39+CH39</f>
        <v>-892.23701749999998</v>
      </c>
      <c r="CL39" s="21">
        <v>9</v>
      </c>
      <c r="CM39" s="17">
        <v>-887.44266700000003</v>
      </c>
      <c r="CN39" s="17"/>
      <c r="CO39" s="17" t="s">
        <v>622</v>
      </c>
      <c r="CP39" s="17">
        <f>1.533462/2</f>
        <v>0.76673100000000005</v>
      </c>
      <c r="CQ39" s="22">
        <f>CM39+CP39</f>
        <v>-886.67593599999998</v>
      </c>
      <c r="CS39" s="21">
        <v>9</v>
      </c>
      <c r="CT39" s="17">
        <v>-888.39687000000004</v>
      </c>
      <c r="CU39" s="17"/>
      <c r="CV39" s="17" t="s">
        <v>628</v>
      </c>
      <c r="CW39" s="17">
        <f>1.500372/2</f>
        <v>0.75018600000000002</v>
      </c>
      <c r="CX39" s="22">
        <f>CT39+CW39</f>
        <v>-887.64668400000005</v>
      </c>
      <c r="CZ39" s="21">
        <v>9</v>
      </c>
      <c r="DA39" s="17">
        <v>-878.52304300000003</v>
      </c>
      <c r="DB39" s="17"/>
      <c r="DC39" s="17" t="s">
        <v>636</v>
      </c>
      <c r="DD39" s="17">
        <f>1.550376/2</f>
        <v>0.77518799999999999</v>
      </c>
      <c r="DE39" s="22">
        <f>DA39+DD39</f>
        <v>-877.74785500000007</v>
      </c>
    </row>
    <row r="40" spans="2:110" x14ac:dyDescent="0.2">
      <c r="B40" s="21" t="s">
        <v>270</v>
      </c>
      <c r="C40" s="17"/>
      <c r="D40" s="17"/>
      <c r="E40" s="17"/>
      <c r="F40" s="17"/>
      <c r="G40" s="22"/>
      <c r="J40" s="21" t="s">
        <v>270</v>
      </c>
      <c r="K40" s="17"/>
      <c r="L40" s="17"/>
      <c r="M40" s="17"/>
      <c r="N40" s="17"/>
      <c r="O40" s="22"/>
      <c r="R40" s="21" t="s">
        <v>270</v>
      </c>
      <c r="S40" s="17"/>
      <c r="T40" s="17"/>
      <c r="U40" s="17"/>
      <c r="V40" s="17"/>
      <c r="W40" s="22"/>
      <c r="Y40" s="21" t="s">
        <v>270</v>
      </c>
      <c r="Z40" s="17"/>
      <c r="AA40" s="17"/>
      <c r="AB40" s="17"/>
      <c r="AC40" s="17"/>
      <c r="AD40" s="22"/>
      <c r="AG40" s="21" t="s">
        <v>270</v>
      </c>
      <c r="AH40" s="17"/>
      <c r="AI40" s="17"/>
      <c r="AJ40" s="17"/>
      <c r="AK40" s="17"/>
      <c r="AL40" s="22"/>
      <c r="AN40" s="21" t="s">
        <v>270</v>
      </c>
      <c r="AO40" s="17"/>
      <c r="AP40" s="17"/>
      <c r="AQ40" s="17"/>
      <c r="AR40" s="17"/>
      <c r="AS40" s="22"/>
      <c r="AU40" s="21" t="s">
        <v>270</v>
      </c>
      <c r="AV40" s="17"/>
      <c r="AW40" s="17"/>
      <c r="AX40" s="17"/>
      <c r="AY40" s="17"/>
      <c r="AZ40" s="22"/>
      <c r="BB40" s="21" t="s">
        <v>270</v>
      </c>
      <c r="BC40" s="17"/>
      <c r="BD40" s="17"/>
      <c r="BE40" s="17"/>
      <c r="BF40" s="17"/>
      <c r="BG40" s="22"/>
      <c r="BI40" s="21" t="s">
        <v>270</v>
      </c>
      <c r="BJ40" s="17"/>
      <c r="BK40" s="17"/>
      <c r="BL40" s="17"/>
      <c r="BM40" s="17"/>
      <c r="BN40" s="22"/>
      <c r="BP40" s="21" t="s">
        <v>270</v>
      </c>
      <c r="BQ40" s="17"/>
      <c r="BR40" s="17"/>
      <c r="BS40" s="17"/>
      <c r="BT40" s="17"/>
      <c r="BU40" s="22"/>
      <c r="BW40" s="21" t="s">
        <v>270</v>
      </c>
      <c r="BX40" s="17"/>
      <c r="BY40" s="17"/>
      <c r="BZ40" s="17"/>
      <c r="CA40" s="17"/>
      <c r="CB40" s="22"/>
      <c r="CD40" s="21" t="s">
        <v>270</v>
      </c>
      <c r="CE40" s="17"/>
      <c r="CF40" s="17"/>
      <c r="CG40" s="17"/>
      <c r="CH40" s="17"/>
      <c r="CI40" s="22"/>
      <c r="CL40" s="21" t="s">
        <v>270</v>
      </c>
      <c r="CM40" s="17"/>
      <c r="CN40" s="17"/>
      <c r="CO40" s="17"/>
      <c r="CP40" s="17"/>
      <c r="CQ40" s="22"/>
      <c r="CS40" s="21" t="s">
        <v>270</v>
      </c>
      <c r="CT40" s="17"/>
      <c r="CU40" s="17"/>
      <c r="CV40" s="17"/>
      <c r="CW40" s="17"/>
      <c r="CX40" s="22"/>
      <c r="CZ40" s="21" t="s">
        <v>270</v>
      </c>
      <c r="DA40" s="17"/>
      <c r="DB40" s="17"/>
      <c r="DC40" s="17"/>
      <c r="DD40" s="17"/>
      <c r="DE40" s="22"/>
    </row>
    <row r="41" spans="2:110" s="1" customFormat="1" x14ac:dyDescent="0.2">
      <c r="B41" s="169" t="s">
        <v>530</v>
      </c>
      <c r="C41" s="170"/>
      <c r="D41" s="170"/>
      <c r="E41" s="170"/>
      <c r="F41" s="170"/>
      <c r="G41" s="171"/>
      <c r="J41" s="169" t="s">
        <v>530</v>
      </c>
      <c r="K41" s="170"/>
      <c r="L41" s="170"/>
      <c r="M41" s="170"/>
      <c r="N41" s="170"/>
      <c r="O41" s="171"/>
      <c r="R41" s="169" t="s">
        <v>530</v>
      </c>
      <c r="S41" s="170"/>
      <c r="T41" s="170"/>
      <c r="U41" s="170"/>
      <c r="V41" s="170"/>
      <c r="W41" s="171"/>
      <c r="Y41" s="169" t="s">
        <v>530</v>
      </c>
      <c r="Z41" s="170"/>
      <c r="AA41" s="170"/>
      <c r="AB41" s="170"/>
      <c r="AC41" s="170"/>
      <c r="AD41" s="171"/>
      <c r="AG41" s="169" t="s">
        <v>530</v>
      </c>
      <c r="AH41" s="170"/>
      <c r="AI41" s="170"/>
      <c r="AJ41" s="170"/>
      <c r="AK41" s="170"/>
      <c r="AL41" s="171"/>
      <c r="AN41" s="169" t="s">
        <v>530</v>
      </c>
      <c r="AO41" s="170"/>
      <c r="AP41" s="170"/>
      <c r="AQ41" s="170"/>
      <c r="AR41" s="170"/>
      <c r="AS41" s="171"/>
      <c r="AU41" s="169" t="s">
        <v>530</v>
      </c>
      <c r="AV41" s="170"/>
      <c r="AW41" s="170"/>
      <c r="AX41" s="170"/>
      <c r="AY41" s="170"/>
      <c r="AZ41" s="171"/>
      <c r="BB41" s="169" t="s">
        <v>530</v>
      </c>
      <c r="BC41" s="170"/>
      <c r="BD41" s="170"/>
      <c r="BE41" s="170"/>
      <c r="BF41" s="170"/>
      <c r="BG41" s="171"/>
      <c r="BI41" s="169" t="s">
        <v>530</v>
      </c>
      <c r="BJ41" s="170"/>
      <c r="BK41" s="170"/>
      <c r="BL41" s="170"/>
      <c r="BM41" s="170"/>
      <c r="BN41" s="171"/>
      <c r="BP41" s="169" t="s">
        <v>530</v>
      </c>
      <c r="BQ41" s="170"/>
      <c r="BR41" s="170"/>
      <c r="BS41" s="170"/>
      <c r="BT41" s="170"/>
      <c r="BU41" s="171"/>
      <c r="BW41" s="169" t="s">
        <v>530</v>
      </c>
      <c r="BX41" s="170"/>
      <c r="BY41" s="170"/>
      <c r="BZ41" s="170"/>
      <c r="CA41" s="170"/>
      <c r="CB41" s="171"/>
      <c r="CD41" s="169" t="s">
        <v>530</v>
      </c>
      <c r="CE41" s="170"/>
      <c r="CF41" s="170"/>
      <c r="CG41" s="170"/>
      <c r="CH41" s="170"/>
      <c r="CI41" s="171"/>
      <c r="CL41" s="169" t="s">
        <v>530</v>
      </c>
      <c r="CM41" s="170"/>
      <c r="CN41" s="170"/>
      <c r="CO41" s="170"/>
      <c r="CP41" s="170"/>
      <c r="CQ41" s="171"/>
      <c r="CS41" s="169" t="s">
        <v>530</v>
      </c>
      <c r="CT41" s="170"/>
      <c r="CU41" s="170"/>
      <c r="CV41" s="170"/>
      <c r="CW41" s="170"/>
      <c r="CX41" s="171"/>
      <c r="CZ41" s="169" t="s">
        <v>530</v>
      </c>
      <c r="DA41" s="170"/>
      <c r="DB41" s="170"/>
      <c r="DC41" s="170"/>
      <c r="DD41" s="170"/>
      <c r="DE41" s="171"/>
    </row>
    <row r="42" spans="2:110" ht="15" x14ac:dyDescent="0.25">
      <c r="B42" s="21"/>
      <c r="C42" s="18" t="s">
        <v>259</v>
      </c>
      <c r="D42" s="18" t="s">
        <v>260</v>
      </c>
      <c r="E42" s="18" t="s">
        <v>263</v>
      </c>
      <c r="F42" s="19" t="s">
        <v>261</v>
      </c>
      <c r="G42" s="20" t="s">
        <v>262</v>
      </c>
      <c r="J42" s="21"/>
      <c r="K42" s="18" t="s">
        <v>259</v>
      </c>
      <c r="L42" s="18" t="s">
        <v>260</v>
      </c>
      <c r="M42" s="18" t="s">
        <v>263</v>
      </c>
      <c r="N42" s="19" t="s">
        <v>261</v>
      </c>
      <c r="O42" s="20" t="s">
        <v>262</v>
      </c>
      <c r="R42" s="21"/>
      <c r="S42" s="18" t="s">
        <v>259</v>
      </c>
      <c r="T42" s="18" t="s">
        <v>260</v>
      </c>
      <c r="U42" s="18" t="s">
        <v>263</v>
      </c>
      <c r="V42" s="19" t="s">
        <v>261</v>
      </c>
      <c r="W42" s="20" t="s">
        <v>262</v>
      </c>
      <c r="Y42" s="21"/>
      <c r="Z42" s="18" t="s">
        <v>259</v>
      </c>
      <c r="AA42" s="18" t="s">
        <v>260</v>
      </c>
      <c r="AB42" s="18" t="s">
        <v>263</v>
      </c>
      <c r="AC42" s="19" t="s">
        <v>261</v>
      </c>
      <c r="AD42" s="20" t="s">
        <v>262</v>
      </c>
      <c r="AG42" s="21"/>
      <c r="AH42" s="18" t="s">
        <v>259</v>
      </c>
      <c r="AI42" s="18" t="s">
        <v>260</v>
      </c>
      <c r="AJ42" s="18" t="s">
        <v>263</v>
      </c>
      <c r="AK42" s="19" t="s">
        <v>261</v>
      </c>
      <c r="AL42" s="20" t="s">
        <v>262</v>
      </c>
      <c r="AN42" s="21"/>
      <c r="AO42" s="18" t="s">
        <v>259</v>
      </c>
      <c r="AP42" s="18" t="s">
        <v>260</v>
      </c>
      <c r="AQ42" s="18" t="s">
        <v>263</v>
      </c>
      <c r="AR42" s="19" t="s">
        <v>261</v>
      </c>
      <c r="AS42" s="20" t="s">
        <v>262</v>
      </c>
      <c r="AU42" s="21"/>
      <c r="AV42" s="18" t="s">
        <v>259</v>
      </c>
      <c r="AW42" s="18" t="s">
        <v>260</v>
      </c>
      <c r="AX42" s="18" t="s">
        <v>263</v>
      </c>
      <c r="AY42" s="19" t="s">
        <v>261</v>
      </c>
      <c r="AZ42" s="20" t="s">
        <v>262</v>
      </c>
      <c r="BB42" s="21"/>
      <c r="BC42" s="18" t="s">
        <v>259</v>
      </c>
      <c r="BD42" s="18" t="s">
        <v>260</v>
      </c>
      <c r="BE42" s="18" t="s">
        <v>263</v>
      </c>
      <c r="BF42" s="19" t="s">
        <v>261</v>
      </c>
      <c r="BG42" s="20" t="s">
        <v>262</v>
      </c>
      <c r="BI42" s="21"/>
      <c r="BJ42" s="18" t="s">
        <v>259</v>
      </c>
      <c r="BK42" s="18" t="s">
        <v>260</v>
      </c>
      <c r="BL42" s="18" t="s">
        <v>263</v>
      </c>
      <c r="BM42" s="19" t="s">
        <v>261</v>
      </c>
      <c r="BN42" s="20" t="s">
        <v>262</v>
      </c>
      <c r="BP42" s="21"/>
      <c r="BQ42" s="18" t="s">
        <v>259</v>
      </c>
      <c r="BR42" s="18" t="s">
        <v>260</v>
      </c>
      <c r="BS42" s="18" t="s">
        <v>263</v>
      </c>
      <c r="BT42" s="19" t="s">
        <v>261</v>
      </c>
      <c r="BU42" s="20" t="s">
        <v>262</v>
      </c>
      <c r="BW42" s="21"/>
      <c r="BX42" s="18" t="s">
        <v>259</v>
      </c>
      <c r="BY42" s="18" t="s">
        <v>260</v>
      </c>
      <c r="BZ42" s="18" t="s">
        <v>263</v>
      </c>
      <c r="CA42" s="19" t="s">
        <v>261</v>
      </c>
      <c r="CB42" s="20" t="s">
        <v>262</v>
      </c>
      <c r="CD42" s="21"/>
      <c r="CE42" s="18" t="s">
        <v>259</v>
      </c>
      <c r="CF42" s="18" t="s">
        <v>260</v>
      </c>
      <c r="CG42" s="18" t="s">
        <v>263</v>
      </c>
      <c r="CH42" s="19" t="s">
        <v>261</v>
      </c>
      <c r="CI42" s="20" t="s">
        <v>262</v>
      </c>
      <c r="CL42" s="21"/>
      <c r="CM42" s="18" t="s">
        <v>259</v>
      </c>
      <c r="CN42" s="18" t="s">
        <v>260</v>
      </c>
      <c r="CO42" s="18" t="s">
        <v>263</v>
      </c>
      <c r="CP42" s="19" t="s">
        <v>261</v>
      </c>
      <c r="CQ42" s="20" t="s">
        <v>262</v>
      </c>
      <c r="CS42" s="21"/>
      <c r="CT42" s="18" t="s">
        <v>259</v>
      </c>
      <c r="CU42" s="18" t="s">
        <v>260</v>
      </c>
      <c r="CV42" s="18" t="s">
        <v>263</v>
      </c>
      <c r="CW42" s="19" t="s">
        <v>261</v>
      </c>
      <c r="CX42" s="20" t="s">
        <v>262</v>
      </c>
      <c r="CZ42" s="21"/>
      <c r="DA42" s="18" t="s">
        <v>259</v>
      </c>
      <c r="DB42" s="18" t="s">
        <v>260</v>
      </c>
      <c r="DC42" s="18" t="s">
        <v>263</v>
      </c>
      <c r="DD42" s="19" t="s">
        <v>261</v>
      </c>
      <c r="DE42" s="20" t="s">
        <v>262</v>
      </c>
      <c r="DF42">
        <v>0.5171699999999646</v>
      </c>
    </row>
    <row r="43" spans="2:110" x14ac:dyDescent="0.2">
      <c r="B43" s="21">
        <v>10</v>
      </c>
      <c r="C43" s="17">
        <v>-984.74282000000005</v>
      </c>
      <c r="D43" s="17"/>
      <c r="E43" s="17" t="s">
        <v>705</v>
      </c>
      <c r="F43" s="17">
        <f>9.110839/2</f>
        <v>4.5554195000000002</v>
      </c>
      <c r="G43" s="22">
        <f>C43+F43</f>
        <v>-980.18740050000008</v>
      </c>
      <c r="J43" s="21">
        <v>10</v>
      </c>
      <c r="K43" s="17">
        <v>-985.56086500000004</v>
      </c>
      <c r="L43" s="17"/>
      <c r="M43" s="17" t="s">
        <v>706</v>
      </c>
      <c r="N43" s="17">
        <f>9.47668/2</f>
        <v>4.73834</v>
      </c>
      <c r="O43" s="22">
        <f>K43+N43</f>
        <v>-980.82252500000004</v>
      </c>
      <c r="R43" s="21">
        <v>10</v>
      </c>
      <c r="S43" s="17">
        <v>-993.33568400000001</v>
      </c>
      <c r="T43" s="17"/>
      <c r="U43" s="17" t="s">
        <v>707</v>
      </c>
      <c r="V43" s="17">
        <f>9.271054/2</f>
        <v>4.6355269999999997</v>
      </c>
      <c r="W43" s="22">
        <f>S43+V43</f>
        <v>-988.70015699999999</v>
      </c>
      <c r="Y43" s="21">
        <v>10</v>
      </c>
      <c r="Z43" s="17">
        <v>-990.639858</v>
      </c>
      <c r="AA43" s="17"/>
      <c r="AB43" s="17" t="s">
        <v>708</v>
      </c>
      <c r="AC43" s="17">
        <f>9.273012/2</f>
        <v>4.6365059999999998</v>
      </c>
      <c r="AD43" s="22">
        <f>Z43+AC43</f>
        <v>-986.00335199999995</v>
      </c>
      <c r="AG43" s="21">
        <v>10</v>
      </c>
      <c r="AH43" s="45">
        <v>-993.75565300000005</v>
      </c>
      <c r="AI43" s="45"/>
      <c r="AJ43" s="45" t="s">
        <v>894</v>
      </c>
      <c r="AK43" s="45">
        <f>9.494767/2</f>
        <v>4.7473834999999998</v>
      </c>
      <c r="AL43" s="146">
        <f>AH43+AK43</f>
        <v>-989.0082695000001</v>
      </c>
      <c r="AN43" s="21">
        <v>10</v>
      </c>
      <c r="AO43" s="17">
        <v>-988.79629399999999</v>
      </c>
      <c r="AP43" s="17"/>
      <c r="AQ43" s="17" t="s">
        <v>709</v>
      </c>
      <c r="AR43" s="17">
        <f>9.159757/2</f>
        <v>4.5798785000000004</v>
      </c>
      <c r="AS43" s="22">
        <f>AO43+AR43</f>
        <v>-984.21641550000004</v>
      </c>
      <c r="AU43" s="21">
        <v>10</v>
      </c>
      <c r="AV43" s="17">
        <v>-989.14525300000003</v>
      </c>
      <c r="AW43" s="17"/>
      <c r="AX43" s="17" t="s">
        <v>710</v>
      </c>
      <c r="AY43" s="17">
        <f>9.254306/2</f>
        <v>4.6271529999999998</v>
      </c>
      <c r="AZ43" s="22">
        <f>AV43+AY43</f>
        <v>-984.5181</v>
      </c>
      <c r="BB43" s="21">
        <v>10</v>
      </c>
      <c r="BC43" s="17">
        <v>-991.51570800000002</v>
      </c>
      <c r="BD43" s="17"/>
      <c r="BE43" s="17" t="s">
        <v>711</v>
      </c>
      <c r="BF43" s="17">
        <f>9.325211/2</f>
        <v>4.6626054999999997</v>
      </c>
      <c r="BG43" s="22">
        <f>BC43+BF43</f>
        <v>-986.85310249999998</v>
      </c>
      <c r="BI43" s="21">
        <v>10</v>
      </c>
      <c r="BJ43" s="17">
        <v>-982.103883</v>
      </c>
      <c r="BK43" s="17"/>
      <c r="BL43" s="17" t="s">
        <v>712</v>
      </c>
      <c r="BM43" s="17">
        <f>9.173573/2</f>
        <v>4.5867864999999997</v>
      </c>
      <c r="BN43" s="22">
        <f>BJ43+BM43</f>
        <v>-977.51709649999998</v>
      </c>
      <c r="BP43" s="21">
        <v>10</v>
      </c>
      <c r="BQ43" s="17">
        <v>-989.00225399999999</v>
      </c>
      <c r="BR43" s="17"/>
      <c r="BS43" s="17" t="s">
        <v>713</v>
      </c>
      <c r="BT43" s="17">
        <f>9.425935/2</f>
        <v>4.7129675000000004</v>
      </c>
      <c r="BU43" s="22">
        <f>BQ43+BT43</f>
        <v>-984.2892865</v>
      </c>
      <c r="BW43" s="21">
        <v>10</v>
      </c>
      <c r="BX43" s="17">
        <v>-992.90537200000006</v>
      </c>
      <c r="BY43" s="17"/>
      <c r="BZ43" s="17" t="s">
        <v>714</v>
      </c>
      <c r="CA43" s="17">
        <f>9.178112/2</f>
        <v>4.5890560000000002</v>
      </c>
      <c r="CB43" s="22">
        <f>BX43+CA43</f>
        <v>-988.31631600000003</v>
      </c>
      <c r="CD43" s="21">
        <v>10</v>
      </c>
      <c r="CE43" s="17">
        <v>-995.79080799999997</v>
      </c>
      <c r="CF43" s="17"/>
      <c r="CG43" s="17" t="s">
        <v>748</v>
      </c>
      <c r="CH43" s="17">
        <f>9.370406/2</f>
        <v>4.6852029999999996</v>
      </c>
      <c r="CI43" s="22">
        <f>CE43+CH43</f>
        <v>-991.10560499999997</v>
      </c>
      <c r="CL43" s="21">
        <v>10</v>
      </c>
      <c r="CM43" s="17">
        <v>-986.41104199999995</v>
      </c>
      <c r="CN43" s="17"/>
      <c r="CO43" s="17" t="s">
        <v>715</v>
      </c>
      <c r="CP43" s="17">
        <f>9.216897/2</f>
        <v>4.6084484999999997</v>
      </c>
      <c r="CQ43" s="22">
        <f>CM43+CP43</f>
        <v>-981.80259349999994</v>
      </c>
      <c r="CS43" s="21">
        <v>10</v>
      </c>
      <c r="CT43" s="17">
        <v>-988.06179199999997</v>
      </c>
      <c r="CU43" s="17"/>
      <c r="CV43" s="17" t="s">
        <v>716</v>
      </c>
      <c r="CW43" s="17">
        <f>9.407424/2</f>
        <v>4.7037120000000003</v>
      </c>
      <c r="CX43" s="22">
        <f>CT43+CW43</f>
        <v>-983.35807999999997</v>
      </c>
      <c r="CZ43" s="21">
        <v>10</v>
      </c>
      <c r="DA43" s="17">
        <v>-988.05928600000004</v>
      </c>
      <c r="DB43" s="17"/>
      <c r="DC43" s="17" t="s">
        <v>717</v>
      </c>
      <c r="DD43" s="17">
        <f>9.380488/2</f>
        <v>4.6902439999999999</v>
      </c>
      <c r="DE43" s="22">
        <f>DA43+DD43</f>
        <v>-983.36904200000004</v>
      </c>
      <c r="DF43">
        <f>-29.826+DE51</f>
        <v>-892.96542899999997</v>
      </c>
    </row>
    <row r="44" spans="2:110" x14ac:dyDescent="0.2">
      <c r="B44" s="21" t="s">
        <v>270</v>
      </c>
      <c r="C44" s="17"/>
      <c r="D44" s="17"/>
      <c r="E44" s="17"/>
      <c r="F44" s="17"/>
      <c r="G44" s="22"/>
      <c r="J44" s="21" t="s">
        <v>270</v>
      </c>
      <c r="K44" s="17"/>
      <c r="L44" s="17"/>
      <c r="M44" s="17"/>
      <c r="N44" s="17"/>
      <c r="O44" s="22"/>
      <c r="R44" s="21" t="s">
        <v>270</v>
      </c>
      <c r="S44" s="17"/>
      <c r="T44" s="17"/>
      <c r="U44" s="17"/>
      <c r="V44" s="17"/>
      <c r="W44" s="22"/>
      <c r="Y44" s="21" t="s">
        <v>270</v>
      </c>
      <c r="Z44" s="17"/>
      <c r="AA44" s="17"/>
      <c r="AB44" s="17"/>
      <c r="AC44" s="17"/>
      <c r="AD44" s="22"/>
      <c r="AG44" s="21" t="s">
        <v>270</v>
      </c>
      <c r="AH44" s="17"/>
      <c r="AI44" s="17"/>
      <c r="AJ44" s="17"/>
      <c r="AK44" s="17"/>
      <c r="AL44" s="22"/>
      <c r="AN44" s="21" t="s">
        <v>270</v>
      </c>
      <c r="AO44" s="17"/>
      <c r="AP44" s="17"/>
      <c r="AQ44" s="17"/>
      <c r="AR44" s="17"/>
      <c r="AS44" s="22"/>
      <c r="AU44" s="21" t="s">
        <v>270</v>
      </c>
      <c r="AV44" s="17"/>
      <c r="AW44" s="17"/>
      <c r="AX44" s="17"/>
      <c r="AY44" s="17"/>
      <c r="AZ44" s="22"/>
      <c r="BB44" s="21" t="s">
        <v>270</v>
      </c>
      <c r="BC44" s="17"/>
      <c r="BD44" s="17"/>
      <c r="BE44" s="17"/>
      <c r="BF44" s="17"/>
      <c r="BG44" s="22"/>
      <c r="BI44" s="21" t="s">
        <v>270</v>
      </c>
      <c r="BJ44" s="17"/>
      <c r="BK44" s="17"/>
      <c r="BL44" s="17"/>
      <c r="BM44" s="17"/>
      <c r="BN44" s="22"/>
      <c r="BP44" s="21" t="s">
        <v>270</v>
      </c>
      <c r="BQ44" s="17"/>
      <c r="BR44" s="17"/>
      <c r="BS44" s="17"/>
      <c r="BT44" s="17"/>
      <c r="BU44" s="22"/>
      <c r="BW44" s="21" t="s">
        <v>270</v>
      </c>
      <c r="BX44" s="17"/>
      <c r="BY44" s="17"/>
      <c r="BZ44" s="17"/>
      <c r="CA44" s="17"/>
      <c r="CB44" s="22"/>
      <c r="CD44" s="21" t="s">
        <v>270</v>
      </c>
      <c r="CE44" s="17"/>
      <c r="CF44" s="17"/>
      <c r="CG44" s="17"/>
      <c r="CH44" s="17"/>
      <c r="CI44" s="22"/>
      <c r="CL44" s="21" t="s">
        <v>270</v>
      </c>
      <c r="CM44" s="17"/>
      <c r="CN44" s="17"/>
      <c r="CO44" s="17"/>
      <c r="CP44" s="17"/>
      <c r="CQ44" s="22"/>
      <c r="CS44" s="21" t="s">
        <v>270</v>
      </c>
      <c r="CT44" s="17"/>
      <c r="CU44" s="17"/>
      <c r="CV44" s="17"/>
      <c r="CW44" s="17"/>
      <c r="CX44" s="22"/>
      <c r="CZ44" s="21" t="s">
        <v>270</v>
      </c>
      <c r="DA44" s="17"/>
      <c r="DB44" s="17"/>
      <c r="DC44" s="17"/>
      <c r="DD44" s="17"/>
      <c r="DE44" s="22"/>
    </row>
    <row r="45" spans="2:110" s="1" customFormat="1" x14ac:dyDescent="0.2">
      <c r="B45" s="169" t="s">
        <v>558</v>
      </c>
      <c r="C45" s="170"/>
      <c r="D45" s="170"/>
      <c r="E45" s="170"/>
      <c r="F45" s="170"/>
      <c r="G45" s="171"/>
      <c r="J45" s="169" t="s">
        <v>558</v>
      </c>
      <c r="K45" s="170"/>
      <c r="L45" s="170"/>
      <c r="M45" s="170"/>
      <c r="N45" s="170"/>
      <c r="O45" s="171"/>
      <c r="R45" s="169" t="s">
        <v>558</v>
      </c>
      <c r="S45" s="170"/>
      <c r="T45" s="170"/>
      <c r="U45" s="170"/>
      <c r="V45" s="170"/>
      <c r="W45" s="171"/>
      <c r="Y45" s="169" t="s">
        <v>558</v>
      </c>
      <c r="Z45" s="170"/>
      <c r="AA45" s="170"/>
      <c r="AB45" s="170"/>
      <c r="AC45" s="170"/>
      <c r="AD45" s="171"/>
      <c r="AG45" s="169" t="s">
        <v>558</v>
      </c>
      <c r="AH45" s="170"/>
      <c r="AI45" s="170"/>
      <c r="AJ45" s="170"/>
      <c r="AK45" s="170"/>
      <c r="AL45" s="171"/>
      <c r="AN45" s="169" t="s">
        <v>558</v>
      </c>
      <c r="AO45" s="170"/>
      <c r="AP45" s="170"/>
      <c r="AQ45" s="170"/>
      <c r="AR45" s="170"/>
      <c r="AS45" s="171"/>
      <c r="AU45" s="169" t="s">
        <v>558</v>
      </c>
      <c r="AV45" s="170"/>
      <c r="AW45" s="170"/>
      <c r="AX45" s="170"/>
      <c r="AY45" s="170"/>
      <c r="AZ45" s="171"/>
      <c r="BB45" s="169" t="s">
        <v>558</v>
      </c>
      <c r="BC45" s="170"/>
      <c r="BD45" s="170"/>
      <c r="BE45" s="170"/>
      <c r="BF45" s="170"/>
      <c r="BG45" s="171"/>
      <c r="BI45" s="169" t="s">
        <v>558</v>
      </c>
      <c r="BJ45" s="170"/>
      <c r="BK45" s="170"/>
      <c r="BL45" s="170"/>
      <c r="BM45" s="170"/>
      <c r="BN45" s="171"/>
      <c r="BP45" s="169" t="s">
        <v>558</v>
      </c>
      <c r="BQ45" s="170"/>
      <c r="BR45" s="170"/>
      <c r="BS45" s="170"/>
      <c r="BT45" s="170"/>
      <c r="BU45" s="171"/>
      <c r="BW45" s="169" t="s">
        <v>558</v>
      </c>
      <c r="BX45" s="170"/>
      <c r="BY45" s="170"/>
      <c r="BZ45" s="170"/>
      <c r="CA45" s="170"/>
      <c r="CB45" s="171"/>
      <c r="CD45" s="169" t="s">
        <v>558</v>
      </c>
      <c r="CE45" s="170"/>
      <c r="CF45" s="170"/>
      <c r="CG45" s="170"/>
      <c r="CH45" s="170"/>
      <c r="CI45" s="171"/>
      <c r="CL45" s="169" t="s">
        <v>558</v>
      </c>
      <c r="CM45" s="170"/>
      <c r="CN45" s="170"/>
      <c r="CO45" s="170"/>
      <c r="CP45" s="170"/>
      <c r="CQ45" s="171"/>
      <c r="CS45" s="169" t="s">
        <v>558</v>
      </c>
      <c r="CT45" s="170"/>
      <c r="CU45" s="170"/>
      <c r="CV45" s="170"/>
      <c r="CW45" s="170"/>
      <c r="CX45" s="171"/>
      <c r="CZ45" s="169" t="s">
        <v>558</v>
      </c>
      <c r="DA45" s="170"/>
      <c r="DB45" s="170"/>
      <c r="DC45" s="170"/>
      <c r="DD45" s="170"/>
      <c r="DE45" s="171"/>
    </row>
    <row r="46" spans="2:110" ht="15" x14ac:dyDescent="0.25">
      <c r="B46" s="21"/>
      <c r="C46" s="18" t="s">
        <v>259</v>
      </c>
      <c r="D46" s="18" t="s">
        <v>260</v>
      </c>
      <c r="E46" s="18" t="s">
        <v>263</v>
      </c>
      <c r="F46" s="19" t="s">
        <v>261</v>
      </c>
      <c r="G46" s="20" t="s">
        <v>262</v>
      </c>
      <c r="J46" s="21"/>
      <c r="K46" s="18" t="s">
        <v>259</v>
      </c>
      <c r="L46" s="18" t="s">
        <v>260</v>
      </c>
      <c r="M46" s="18" t="s">
        <v>263</v>
      </c>
      <c r="N46" s="19" t="s">
        <v>261</v>
      </c>
      <c r="O46" s="20" t="s">
        <v>262</v>
      </c>
      <c r="R46" s="21"/>
      <c r="S46" s="18" t="s">
        <v>259</v>
      </c>
      <c r="T46" s="18" t="s">
        <v>260</v>
      </c>
      <c r="U46" s="18" t="s">
        <v>263</v>
      </c>
      <c r="V46" s="19" t="s">
        <v>261</v>
      </c>
      <c r="W46" s="20" t="s">
        <v>262</v>
      </c>
      <c r="Y46" s="21"/>
      <c r="Z46" s="18" t="s">
        <v>259</v>
      </c>
      <c r="AA46" s="18" t="s">
        <v>260</v>
      </c>
      <c r="AB46" s="18" t="s">
        <v>263</v>
      </c>
      <c r="AC46" s="19" t="s">
        <v>261</v>
      </c>
      <c r="AD46" s="20" t="s">
        <v>262</v>
      </c>
      <c r="AG46" s="21"/>
      <c r="AH46" s="18" t="s">
        <v>259</v>
      </c>
      <c r="AI46" s="18" t="s">
        <v>260</v>
      </c>
      <c r="AJ46" s="18" t="s">
        <v>263</v>
      </c>
      <c r="AK46" s="19" t="s">
        <v>261</v>
      </c>
      <c r="AL46" s="20" t="s">
        <v>262</v>
      </c>
      <c r="AN46" s="21"/>
      <c r="AO46" s="18" t="s">
        <v>259</v>
      </c>
      <c r="AP46" s="18" t="s">
        <v>260</v>
      </c>
      <c r="AQ46" s="18" t="s">
        <v>263</v>
      </c>
      <c r="AR46" s="19" t="s">
        <v>261</v>
      </c>
      <c r="AS46" s="20" t="s">
        <v>262</v>
      </c>
      <c r="AU46" s="21"/>
      <c r="AV46" s="18" t="s">
        <v>259</v>
      </c>
      <c r="AW46" s="18" t="s">
        <v>260</v>
      </c>
      <c r="AX46" s="18" t="s">
        <v>263</v>
      </c>
      <c r="AY46" s="19" t="s">
        <v>261</v>
      </c>
      <c r="AZ46" s="20" t="s">
        <v>262</v>
      </c>
      <c r="BB46" s="21"/>
      <c r="BC46" s="18" t="s">
        <v>259</v>
      </c>
      <c r="BD46" s="18" t="s">
        <v>260</v>
      </c>
      <c r="BE46" s="18" t="s">
        <v>263</v>
      </c>
      <c r="BF46" s="19" t="s">
        <v>261</v>
      </c>
      <c r="BG46" s="20" t="s">
        <v>262</v>
      </c>
      <c r="BI46" s="21"/>
      <c r="BJ46" s="18" t="s">
        <v>259</v>
      </c>
      <c r="BK46" s="18" t="s">
        <v>260</v>
      </c>
      <c r="BL46" s="18" t="s">
        <v>263</v>
      </c>
      <c r="BM46" s="19" t="s">
        <v>261</v>
      </c>
      <c r="BN46" s="20" t="s">
        <v>262</v>
      </c>
      <c r="BP46" s="21"/>
      <c r="BQ46" s="18" t="s">
        <v>259</v>
      </c>
      <c r="BR46" s="18" t="s">
        <v>260</v>
      </c>
      <c r="BS46" s="18" t="s">
        <v>263</v>
      </c>
      <c r="BT46" s="19" t="s">
        <v>261</v>
      </c>
      <c r="BU46" s="20" t="s">
        <v>262</v>
      </c>
      <c r="BW46" s="21"/>
      <c r="BX46" s="18" t="s">
        <v>259</v>
      </c>
      <c r="BY46" s="18" t="s">
        <v>260</v>
      </c>
      <c r="BZ46" s="18" t="s">
        <v>263</v>
      </c>
      <c r="CA46" s="19" t="s">
        <v>261</v>
      </c>
      <c r="CB46" s="20" t="s">
        <v>262</v>
      </c>
      <c r="CD46" s="21"/>
      <c r="CE46" s="18" t="s">
        <v>259</v>
      </c>
      <c r="CF46" s="18" t="s">
        <v>260</v>
      </c>
      <c r="CG46" s="18" t="s">
        <v>263</v>
      </c>
      <c r="CH46" s="19" t="s">
        <v>261</v>
      </c>
      <c r="CI46" s="20" t="s">
        <v>262</v>
      </c>
      <c r="CL46" s="21"/>
      <c r="CM46" s="18" t="s">
        <v>259</v>
      </c>
      <c r="CN46" s="18" t="s">
        <v>260</v>
      </c>
      <c r="CO46" s="18" t="s">
        <v>263</v>
      </c>
      <c r="CP46" s="19" t="s">
        <v>261</v>
      </c>
      <c r="CQ46" s="20" t="s">
        <v>262</v>
      </c>
      <c r="CS46" s="21"/>
      <c r="CT46" s="18" t="s">
        <v>259</v>
      </c>
      <c r="CU46" s="18" t="s">
        <v>260</v>
      </c>
      <c r="CV46" s="18" t="s">
        <v>263</v>
      </c>
      <c r="CW46" s="19" t="s">
        <v>261</v>
      </c>
      <c r="CX46" s="20" t="s">
        <v>262</v>
      </c>
      <c r="CZ46" s="21"/>
      <c r="DA46" s="18" t="s">
        <v>259</v>
      </c>
      <c r="DB46" s="18" t="s">
        <v>260</v>
      </c>
      <c r="DC46" s="18" t="s">
        <v>263</v>
      </c>
      <c r="DD46" s="19" t="s">
        <v>261</v>
      </c>
      <c r="DE46" s="20" t="s">
        <v>262</v>
      </c>
    </row>
    <row r="47" spans="2:110" x14ac:dyDescent="0.2">
      <c r="B47" s="21">
        <v>11</v>
      </c>
      <c r="C47" s="49">
        <v>-880.01680899999997</v>
      </c>
      <c r="D47" s="49"/>
      <c r="E47" s="49" t="s">
        <v>860</v>
      </c>
      <c r="F47" s="49">
        <f>0.818595/2</f>
        <v>0.40929749999999998</v>
      </c>
      <c r="G47" s="50">
        <f>C47+F47</f>
        <v>-879.60751149999999</v>
      </c>
      <c r="J47" s="21">
        <v>11</v>
      </c>
      <c r="K47" s="49">
        <v>-880.65995699999996</v>
      </c>
      <c r="L47" s="49"/>
      <c r="M47" s="49" t="s">
        <v>862</v>
      </c>
      <c r="N47" s="49">
        <f>0.926141/2</f>
        <v>0.4630705</v>
      </c>
      <c r="O47" s="50">
        <f>K47+N47</f>
        <v>-880.19688650000001</v>
      </c>
      <c r="R47" s="21">
        <v>11</v>
      </c>
      <c r="S47" s="49">
        <v>-885.970462</v>
      </c>
      <c r="T47" s="49"/>
      <c r="U47" s="49" t="s">
        <v>863</v>
      </c>
      <c r="V47" s="49">
        <f>0.870412/2</f>
        <v>0.43520599999999998</v>
      </c>
      <c r="W47" s="50">
        <f>S47+V47</f>
        <v>-885.535256</v>
      </c>
      <c r="Y47" s="21">
        <v>11</v>
      </c>
      <c r="Z47" s="49">
        <v>-884.94345799999996</v>
      </c>
      <c r="AA47" s="49"/>
      <c r="AB47" s="49" t="s">
        <v>884</v>
      </c>
      <c r="AC47" s="49">
        <f>0.913935/2</f>
        <v>0.45696750000000003</v>
      </c>
      <c r="AD47" s="50">
        <f>Z47+AC47</f>
        <v>-884.48649049999995</v>
      </c>
      <c r="AG47" s="21">
        <v>11</v>
      </c>
      <c r="AH47" s="49">
        <v>-885.89453900000001</v>
      </c>
      <c r="AI47" s="49"/>
      <c r="AJ47" s="49" t="s">
        <v>864</v>
      </c>
      <c r="AK47" s="49">
        <f>1.007521/2</f>
        <v>0.50376050000000006</v>
      </c>
      <c r="AL47" s="50">
        <f>AH47+AK47</f>
        <v>-885.39077850000001</v>
      </c>
      <c r="AN47" s="21">
        <v>11</v>
      </c>
      <c r="AO47" s="49">
        <v>-885.45845299999996</v>
      </c>
      <c r="AP47" s="49"/>
      <c r="AQ47" s="49" t="s">
        <v>865</v>
      </c>
      <c r="AR47" s="49">
        <f>0.951858/2</f>
        <v>0.47592899999999999</v>
      </c>
      <c r="AS47" s="50">
        <f>AO47+AR47</f>
        <v>-884.98252400000001</v>
      </c>
      <c r="AU47" s="21">
        <v>11</v>
      </c>
      <c r="AV47" s="49">
        <v>-885.30797099999995</v>
      </c>
      <c r="AW47" s="49"/>
      <c r="AX47" s="49" t="s">
        <v>866</v>
      </c>
      <c r="AY47" s="49">
        <f>1.094589/2</f>
        <v>0.54729450000000002</v>
      </c>
      <c r="AZ47" s="50">
        <f>AV47+AY47</f>
        <v>-884.76067649999993</v>
      </c>
      <c r="BB47" s="21">
        <v>11</v>
      </c>
      <c r="BC47" s="49">
        <v>-887.63681499999996</v>
      </c>
      <c r="BD47" s="49"/>
      <c r="BE47" s="49" t="s">
        <v>875</v>
      </c>
      <c r="BF47" s="49">
        <f>0.809336/2</f>
        <v>0.40466800000000003</v>
      </c>
      <c r="BG47" s="50">
        <f>BC47+BF47</f>
        <v>-887.23214699999994</v>
      </c>
      <c r="BI47" s="21">
        <v>11</v>
      </c>
      <c r="BJ47" s="49">
        <v>-876.12345700000003</v>
      </c>
      <c r="BK47" s="49"/>
      <c r="BL47" s="35" t="s">
        <v>867</v>
      </c>
      <c r="BM47" s="49">
        <f>0.961536/2</f>
        <v>0.48076799999999997</v>
      </c>
      <c r="BN47" s="50">
        <f>BJ47+BM47</f>
        <v>-875.64268900000002</v>
      </c>
      <c r="BP47" s="21">
        <v>11</v>
      </c>
      <c r="BQ47" s="49">
        <v>-883.01540499999999</v>
      </c>
      <c r="BR47" s="49"/>
      <c r="BS47" s="49" t="s">
        <v>868</v>
      </c>
      <c r="BT47" s="49">
        <f>1.020716/2</f>
        <v>0.51035799999999998</v>
      </c>
      <c r="BU47" s="50">
        <f>BQ47+BT47</f>
        <v>-882.50504699999999</v>
      </c>
      <c r="BW47" s="21">
        <v>11</v>
      </c>
      <c r="BX47" s="49">
        <v>-886.09437100000002</v>
      </c>
      <c r="BY47" s="49"/>
      <c r="BZ47" s="49" t="s">
        <v>869</v>
      </c>
      <c r="CA47" s="49">
        <f>0.930032/2</f>
        <v>0.46501599999999998</v>
      </c>
      <c r="CB47" s="50">
        <f>BX47+CA47</f>
        <v>-885.62935500000003</v>
      </c>
      <c r="CD47" s="21">
        <v>11</v>
      </c>
      <c r="CE47" s="49">
        <v>-887.63839399999995</v>
      </c>
      <c r="CF47" s="49"/>
      <c r="CG47" s="49" t="s">
        <v>870</v>
      </c>
      <c r="CH47" s="49">
        <f>0.964081/2</f>
        <v>0.48204049999999998</v>
      </c>
      <c r="CI47" s="50">
        <f>CE47+CH47</f>
        <v>-887.15635349999991</v>
      </c>
      <c r="CL47" s="21">
        <v>11</v>
      </c>
      <c r="CM47" s="49">
        <v>-884.78526299999999</v>
      </c>
      <c r="CN47" s="49"/>
      <c r="CO47" s="49" t="s">
        <v>871</v>
      </c>
      <c r="CP47" s="49">
        <f>0.923236/2</f>
        <v>0.46161799999999997</v>
      </c>
      <c r="CQ47" s="50">
        <f>CM47+CP47</f>
        <v>-884.32364499999994</v>
      </c>
      <c r="CS47" s="21">
        <v>11</v>
      </c>
      <c r="CT47" s="49">
        <v>-882.25734199999999</v>
      </c>
      <c r="CU47" s="49"/>
      <c r="CV47" s="49" t="s">
        <v>872</v>
      </c>
      <c r="CW47" s="49">
        <f>1.035088 /2</f>
        <v>0.517544</v>
      </c>
      <c r="CX47" s="50">
        <f>CT47+CW47</f>
        <v>-881.73979799999995</v>
      </c>
      <c r="CZ47" s="21">
        <v>11</v>
      </c>
      <c r="DA47" s="49">
        <v>-872.52220799999998</v>
      </c>
      <c r="DB47" s="49"/>
      <c r="DC47" s="49" t="s">
        <v>873</v>
      </c>
      <c r="DD47" s="49">
        <f>0.915844/2</f>
        <v>0.457922</v>
      </c>
      <c r="DE47" s="50">
        <f>DA47+DD47</f>
        <v>-872.06428599999992</v>
      </c>
    </row>
    <row r="48" spans="2:110" ht="15" thickBot="1" x14ac:dyDescent="0.25">
      <c r="B48" s="23" t="s">
        <v>270</v>
      </c>
      <c r="C48" s="51"/>
      <c r="D48" s="51"/>
      <c r="E48" s="51"/>
      <c r="F48" s="51"/>
      <c r="G48" s="54"/>
      <c r="J48" s="23" t="s">
        <v>270</v>
      </c>
      <c r="K48" s="51"/>
      <c r="L48" s="51"/>
      <c r="M48" s="51"/>
      <c r="N48" s="51"/>
      <c r="O48" s="54"/>
      <c r="R48" s="23" t="s">
        <v>270</v>
      </c>
      <c r="S48" s="51"/>
      <c r="T48" s="51"/>
      <c r="U48" s="51"/>
      <c r="V48" s="51"/>
      <c r="W48" s="54"/>
      <c r="Y48" s="23" t="s">
        <v>270</v>
      </c>
      <c r="Z48" s="51"/>
      <c r="AA48" s="51"/>
      <c r="AB48" s="51"/>
      <c r="AC48" s="51"/>
      <c r="AD48" s="54"/>
      <c r="AG48" s="23" t="s">
        <v>270</v>
      </c>
      <c r="AH48" s="51"/>
      <c r="AI48" s="51"/>
      <c r="AJ48" s="51"/>
      <c r="AK48" s="51"/>
      <c r="AL48" s="54"/>
      <c r="AN48" s="23" t="s">
        <v>270</v>
      </c>
      <c r="AO48" s="51"/>
      <c r="AP48" s="51"/>
      <c r="AQ48" s="51"/>
      <c r="AR48" s="51"/>
      <c r="AS48" s="54"/>
      <c r="AU48" s="23" t="s">
        <v>270</v>
      </c>
      <c r="AV48" s="51"/>
      <c r="AW48" s="51"/>
      <c r="AX48" s="51"/>
      <c r="AY48" s="51"/>
      <c r="AZ48" s="54"/>
      <c r="BB48" s="23" t="s">
        <v>270</v>
      </c>
      <c r="BC48" s="51"/>
      <c r="BD48" s="51"/>
      <c r="BE48" s="51"/>
      <c r="BF48" s="51"/>
      <c r="BG48" s="54"/>
      <c r="BI48" s="23" t="s">
        <v>270</v>
      </c>
      <c r="BJ48" s="51"/>
      <c r="BK48" s="51"/>
      <c r="BL48" s="51"/>
      <c r="BM48" s="51"/>
      <c r="BN48" s="54"/>
      <c r="BP48" s="23" t="s">
        <v>270</v>
      </c>
      <c r="BQ48" s="51"/>
      <c r="BR48" s="51"/>
      <c r="BS48" s="51"/>
      <c r="BT48" s="51"/>
      <c r="BU48" s="54"/>
      <c r="BW48" s="23" t="s">
        <v>270</v>
      </c>
      <c r="BX48" s="51"/>
      <c r="BY48" s="51"/>
      <c r="BZ48" s="51"/>
      <c r="CA48" s="51"/>
      <c r="CB48" s="54"/>
      <c r="CD48" s="23" t="s">
        <v>270</v>
      </c>
      <c r="CE48" s="51"/>
      <c r="CF48" s="51"/>
      <c r="CG48" s="51"/>
      <c r="CH48" s="51"/>
      <c r="CI48" s="54"/>
      <c r="CL48" s="23" t="s">
        <v>270</v>
      </c>
      <c r="CM48" s="51"/>
      <c r="CN48" s="51"/>
      <c r="CO48" s="51"/>
      <c r="CP48" s="51"/>
      <c r="CQ48" s="54"/>
      <c r="CS48" s="23" t="s">
        <v>270</v>
      </c>
      <c r="CT48" s="51"/>
      <c r="CU48" s="51"/>
      <c r="CV48" s="51"/>
      <c r="CW48" s="51"/>
      <c r="CX48" s="54"/>
      <c r="CZ48" s="23" t="s">
        <v>270</v>
      </c>
      <c r="DA48" s="51"/>
      <c r="DB48" s="51"/>
      <c r="DC48" s="51"/>
      <c r="DD48" s="51"/>
      <c r="DE48" s="54"/>
    </row>
    <row r="49" spans="1:109" x14ac:dyDescent="0.2">
      <c r="A49" s="175" t="s">
        <v>893</v>
      </c>
      <c r="B49" s="148" t="s">
        <v>892</v>
      </c>
      <c r="C49" s="149"/>
      <c r="D49" s="149"/>
      <c r="E49" s="149"/>
      <c r="F49" s="149"/>
      <c r="G49" s="150"/>
      <c r="J49" s="148" t="s">
        <v>892</v>
      </c>
      <c r="K49" s="149"/>
      <c r="L49" s="149"/>
      <c r="M49" s="149"/>
      <c r="N49" s="149"/>
      <c r="O49" s="150"/>
      <c r="R49" s="148" t="s">
        <v>892</v>
      </c>
      <c r="S49" s="149"/>
      <c r="T49" s="149"/>
      <c r="U49" s="149"/>
      <c r="V49" s="149"/>
      <c r="W49" s="150"/>
      <c r="Y49" s="148" t="s">
        <v>892</v>
      </c>
      <c r="Z49" s="149"/>
      <c r="AA49" s="149"/>
      <c r="AB49" s="149"/>
      <c r="AC49" s="149"/>
      <c r="AD49" s="150"/>
      <c r="AG49" s="148" t="s">
        <v>892</v>
      </c>
      <c r="AH49" s="149"/>
      <c r="AI49" s="149"/>
      <c r="AJ49" s="149"/>
      <c r="AK49" s="149"/>
      <c r="AL49" s="150"/>
      <c r="AN49" s="148" t="s">
        <v>892</v>
      </c>
      <c r="AO49" s="149"/>
      <c r="AP49" s="149"/>
      <c r="AQ49" s="149"/>
      <c r="AR49" s="149"/>
      <c r="AS49" s="150"/>
      <c r="AU49" s="148" t="s">
        <v>892</v>
      </c>
      <c r="AV49" s="149"/>
      <c r="AW49" s="149"/>
      <c r="AX49" s="149"/>
      <c r="AY49" s="149"/>
      <c r="AZ49" s="150"/>
      <c r="BB49" s="148" t="s">
        <v>892</v>
      </c>
      <c r="BC49" s="149"/>
      <c r="BD49" s="149"/>
      <c r="BE49" s="149"/>
      <c r="BF49" s="149"/>
      <c r="BG49" s="150"/>
      <c r="BI49" s="148" t="s">
        <v>892</v>
      </c>
      <c r="BJ49" s="149"/>
      <c r="BK49" s="149"/>
      <c r="BL49" s="149"/>
      <c r="BM49" s="149"/>
      <c r="BN49" s="150"/>
      <c r="BP49" s="148" t="s">
        <v>892</v>
      </c>
      <c r="BQ49" s="149"/>
      <c r="BR49" s="149"/>
      <c r="BS49" s="149"/>
      <c r="BT49" s="149"/>
      <c r="BU49" s="150"/>
      <c r="BW49" s="148" t="s">
        <v>892</v>
      </c>
      <c r="BX49" s="149"/>
      <c r="BY49" s="149"/>
      <c r="BZ49" s="149"/>
      <c r="CA49" s="149"/>
      <c r="CB49" s="150"/>
      <c r="CD49" s="148" t="s">
        <v>892</v>
      </c>
      <c r="CE49" s="149"/>
      <c r="CF49" s="149"/>
      <c r="CG49" s="149"/>
      <c r="CH49" s="149"/>
      <c r="CI49" s="150"/>
      <c r="CL49" s="148" t="s">
        <v>892</v>
      </c>
      <c r="CM49" s="149"/>
      <c r="CN49" s="149"/>
      <c r="CO49" s="149"/>
      <c r="CP49" s="149"/>
      <c r="CQ49" s="150"/>
      <c r="CS49" s="148" t="s">
        <v>892</v>
      </c>
      <c r="CT49" s="149"/>
      <c r="CU49" s="149"/>
      <c r="CV49" s="149"/>
      <c r="CW49" s="149"/>
      <c r="CX49" s="150"/>
      <c r="CZ49" s="148" t="s">
        <v>892</v>
      </c>
      <c r="DA49" s="149"/>
      <c r="DB49" s="149"/>
      <c r="DC49" s="149"/>
      <c r="DD49" s="149"/>
      <c r="DE49" s="150"/>
    </row>
    <row r="50" spans="1:109" ht="15" x14ac:dyDescent="0.25">
      <c r="A50" s="176"/>
      <c r="B50" s="21"/>
      <c r="C50" s="18" t="s">
        <v>259</v>
      </c>
      <c r="D50" s="18" t="s">
        <v>260</v>
      </c>
      <c r="E50" s="18" t="s">
        <v>263</v>
      </c>
      <c r="F50" s="19" t="s">
        <v>261</v>
      </c>
      <c r="G50" s="20" t="s">
        <v>262</v>
      </c>
      <c r="J50" s="21"/>
      <c r="K50" s="18" t="s">
        <v>259</v>
      </c>
      <c r="L50" s="18" t="s">
        <v>260</v>
      </c>
      <c r="M50" s="18" t="s">
        <v>263</v>
      </c>
      <c r="N50" s="19" t="s">
        <v>261</v>
      </c>
      <c r="O50" s="20" t="s">
        <v>262</v>
      </c>
      <c r="R50" s="21"/>
      <c r="S50" s="18" t="s">
        <v>259</v>
      </c>
      <c r="T50" s="18" t="s">
        <v>260</v>
      </c>
      <c r="U50" s="18" t="s">
        <v>263</v>
      </c>
      <c r="V50" s="19" t="s">
        <v>261</v>
      </c>
      <c r="W50" s="20" t="s">
        <v>262</v>
      </c>
      <c r="Y50" s="21"/>
      <c r="Z50" s="18" t="s">
        <v>259</v>
      </c>
      <c r="AA50" s="18" t="s">
        <v>260</v>
      </c>
      <c r="AB50" s="18" t="s">
        <v>263</v>
      </c>
      <c r="AC50" s="19" t="s">
        <v>261</v>
      </c>
      <c r="AD50" s="20" t="s">
        <v>262</v>
      </c>
      <c r="AG50" s="21"/>
      <c r="AH50" s="18" t="s">
        <v>259</v>
      </c>
      <c r="AI50" s="18" t="s">
        <v>260</v>
      </c>
      <c r="AJ50" s="18" t="s">
        <v>263</v>
      </c>
      <c r="AK50" s="19" t="s">
        <v>261</v>
      </c>
      <c r="AL50" s="20" t="s">
        <v>262</v>
      </c>
      <c r="AN50" s="21"/>
      <c r="AO50" s="18" t="s">
        <v>259</v>
      </c>
      <c r="AP50" s="18" t="s">
        <v>260</v>
      </c>
      <c r="AQ50" s="18" t="s">
        <v>263</v>
      </c>
      <c r="AR50" s="19" t="s">
        <v>261</v>
      </c>
      <c r="AS50" s="20" t="s">
        <v>262</v>
      </c>
      <c r="AU50" s="21"/>
      <c r="AV50" s="18" t="s">
        <v>259</v>
      </c>
      <c r="AW50" s="18" t="s">
        <v>260</v>
      </c>
      <c r="AX50" s="18" t="s">
        <v>263</v>
      </c>
      <c r="AY50" s="19" t="s">
        <v>261</v>
      </c>
      <c r="AZ50" s="20" t="s">
        <v>262</v>
      </c>
      <c r="BB50" s="21"/>
      <c r="BC50" s="18" t="s">
        <v>259</v>
      </c>
      <c r="BD50" s="18" t="s">
        <v>260</v>
      </c>
      <c r="BE50" s="18" t="s">
        <v>263</v>
      </c>
      <c r="BF50" s="19" t="s">
        <v>261</v>
      </c>
      <c r="BG50" s="20" t="s">
        <v>262</v>
      </c>
      <c r="BI50" s="21"/>
      <c r="BJ50" s="18" t="s">
        <v>259</v>
      </c>
      <c r="BK50" s="18" t="s">
        <v>260</v>
      </c>
      <c r="BL50" s="18" t="s">
        <v>263</v>
      </c>
      <c r="BM50" s="19" t="s">
        <v>261</v>
      </c>
      <c r="BN50" s="20" t="s">
        <v>262</v>
      </c>
      <c r="BP50" s="21"/>
      <c r="BQ50" s="18" t="s">
        <v>259</v>
      </c>
      <c r="BR50" s="18" t="s">
        <v>260</v>
      </c>
      <c r="BS50" s="18" t="s">
        <v>263</v>
      </c>
      <c r="BT50" s="19" t="s">
        <v>261</v>
      </c>
      <c r="BU50" s="20" t="s">
        <v>262</v>
      </c>
      <c r="BW50" s="21"/>
      <c r="BX50" s="18" t="s">
        <v>259</v>
      </c>
      <c r="BY50" s="18" t="s">
        <v>260</v>
      </c>
      <c r="BZ50" s="18" t="s">
        <v>263</v>
      </c>
      <c r="CA50" s="19" t="s">
        <v>261</v>
      </c>
      <c r="CB50" s="20" t="s">
        <v>262</v>
      </c>
      <c r="CD50" s="21"/>
      <c r="CE50" s="18" t="s">
        <v>259</v>
      </c>
      <c r="CF50" s="18" t="s">
        <v>260</v>
      </c>
      <c r="CG50" s="18" t="s">
        <v>263</v>
      </c>
      <c r="CH50" s="19" t="s">
        <v>261</v>
      </c>
      <c r="CI50" s="20" t="s">
        <v>262</v>
      </c>
      <c r="CL50" s="21"/>
      <c r="CM50" s="18" t="s">
        <v>259</v>
      </c>
      <c r="CN50" s="18" t="s">
        <v>260</v>
      </c>
      <c r="CO50" s="18" t="s">
        <v>263</v>
      </c>
      <c r="CP50" s="19" t="s">
        <v>261</v>
      </c>
      <c r="CQ50" s="20" t="s">
        <v>262</v>
      </c>
      <c r="CS50" s="21"/>
      <c r="CT50" s="18" t="s">
        <v>259</v>
      </c>
      <c r="CU50" s="18" t="s">
        <v>260</v>
      </c>
      <c r="CV50" s="18" t="s">
        <v>263</v>
      </c>
      <c r="CW50" s="19" t="s">
        <v>261</v>
      </c>
      <c r="CX50" s="20" t="s">
        <v>262</v>
      </c>
      <c r="CZ50" s="21"/>
      <c r="DA50" s="18" t="s">
        <v>259</v>
      </c>
      <c r="DB50" s="18" t="s">
        <v>260</v>
      </c>
      <c r="DC50" s="18" t="s">
        <v>263</v>
      </c>
      <c r="DD50" s="19" t="s">
        <v>261</v>
      </c>
      <c r="DE50" s="20" t="s">
        <v>262</v>
      </c>
    </row>
    <row r="51" spans="1:109" x14ac:dyDescent="0.2">
      <c r="A51" s="176"/>
      <c r="B51" s="21">
        <v>12</v>
      </c>
      <c r="C51" s="49">
        <v>-871.128961</v>
      </c>
      <c r="D51" s="49"/>
      <c r="E51" s="49" t="s">
        <v>895</v>
      </c>
      <c r="F51" s="49">
        <f>0.33355/2</f>
        <v>0.16677500000000001</v>
      </c>
      <c r="G51" s="50">
        <f>C51+F51</f>
        <v>-870.96218599999997</v>
      </c>
      <c r="J51" s="21">
        <v>12</v>
      </c>
      <c r="K51" s="49">
        <v>-872.09403499999996</v>
      </c>
      <c r="L51" s="49"/>
      <c r="M51" s="49" t="s">
        <v>896</v>
      </c>
      <c r="N51" s="49">
        <f>0.352871/2</f>
        <v>0.1764355</v>
      </c>
      <c r="O51" s="50">
        <f>K51+N51</f>
        <v>-871.91759949999994</v>
      </c>
      <c r="R51" s="21">
        <v>12</v>
      </c>
      <c r="S51" s="49">
        <v>-878.574071</v>
      </c>
      <c r="T51" s="49"/>
      <c r="U51" s="49" t="s">
        <v>897</v>
      </c>
      <c r="V51" s="49">
        <f>0.270868/2</f>
        <v>0.135434</v>
      </c>
      <c r="W51" s="50">
        <f>S51+V51</f>
        <v>-878.43863699999997</v>
      </c>
      <c r="Y51" s="21">
        <v>12</v>
      </c>
      <c r="Z51" s="49">
        <v>-873.49962600000003</v>
      </c>
      <c r="AA51" s="49"/>
      <c r="AB51" s="49" t="s">
        <v>898</v>
      </c>
      <c r="AC51" s="49">
        <f>0.227544/2</f>
        <v>0.113772</v>
      </c>
      <c r="AD51" s="50">
        <f>Z51+AC51</f>
        <v>-873.38585399999999</v>
      </c>
      <c r="AG51" s="21">
        <v>12</v>
      </c>
      <c r="AH51" s="49">
        <v>-876.100235</v>
      </c>
      <c r="AI51" s="49"/>
      <c r="AJ51" s="49" t="s">
        <v>899</v>
      </c>
      <c r="AK51" s="49">
        <f>0.311038/2</f>
        <v>0.15551899999999999</v>
      </c>
      <c r="AL51" s="50">
        <f>AH51+AK51</f>
        <v>-875.94471599999997</v>
      </c>
      <c r="AN51" s="21">
        <v>12</v>
      </c>
      <c r="AO51" s="49">
        <v>-874.00250200000005</v>
      </c>
      <c r="AP51" s="49"/>
      <c r="AQ51" s="49" t="s">
        <v>900</v>
      </c>
      <c r="AR51" s="49">
        <f>0.26734/2</f>
        <v>0.13367000000000001</v>
      </c>
      <c r="AS51" s="50">
        <f>AO51+AR51</f>
        <v>-873.868832</v>
      </c>
      <c r="AU51" s="21">
        <v>12</v>
      </c>
      <c r="AV51" s="49">
        <v>-875.08653100000004</v>
      </c>
      <c r="AW51" s="49"/>
      <c r="AX51" s="49" t="s">
        <v>906</v>
      </c>
      <c r="AY51" s="49">
        <f>0.361559/2</f>
        <v>0.18077950000000001</v>
      </c>
      <c r="AZ51" s="50">
        <f>AV51+AY51</f>
        <v>-874.90575150000006</v>
      </c>
      <c r="BB51" s="21">
        <v>12</v>
      </c>
      <c r="BC51" s="49">
        <v>-876.80751499999997</v>
      </c>
      <c r="BD51" s="49"/>
      <c r="BE51" s="49" t="s">
        <v>901</v>
      </c>
      <c r="BF51" s="49">
        <f>0.317193/2</f>
        <v>0.1585965</v>
      </c>
      <c r="BG51" s="50">
        <f>BC51+BF51</f>
        <v>-876.64891849999992</v>
      </c>
      <c r="BI51" s="21">
        <v>12</v>
      </c>
      <c r="BJ51" s="49">
        <v>-868.64248899999996</v>
      </c>
      <c r="BK51" s="49"/>
      <c r="BL51" s="49" t="s">
        <v>909</v>
      </c>
      <c r="BM51" s="49">
        <f>0.252576/2</f>
        <v>0.12628800000000001</v>
      </c>
      <c r="BN51" s="50">
        <f>BJ51+BM51</f>
        <v>-868.51620099999991</v>
      </c>
      <c r="BP51" s="21">
        <v>12</v>
      </c>
      <c r="BQ51" s="49">
        <v>-874.10145</v>
      </c>
      <c r="BR51" s="49"/>
      <c r="BS51" s="49" t="s">
        <v>902</v>
      </c>
      <c r="BT51" s="49">
        <f>0.474738/2</f>
        <v>0.237369</v>
      </c>
      <c r="BU51" s="50">
        <f>BQ51+BT51</f>
        <v>-873.86408100000006</v>
      </c>
      <c r="BW51" s="21">
        <v>12</v>
      </c>
      <c r="BX51" s="49">
        <v>-876.36239599999999</v>
      </c>
      <c r="BY51" s="49"/>
      <c r="BZ51" s="49" t="s">
        <v>907</v>
      </c>
      <c r="CA51" s="49">
        <f>0.244629/2</f>
        <v>0.12231450000000001</v>
      </c>
      <c r="CB51" s="50">
        <f>BX51+CA51</f>
        <v>-876.24008149999997</v>
      </c>
      <c r="CD51" s="21">
        <v>12</v>
      </c>
      <c r="CE51" s="49">
        <v>-877.83179900000005</v>
      </c>
      <c r="CF51" s="49"/>
      <c r="CG51" s="49" t="s">
        <v>903</v>
      </c>
      <c r="CH51" s="49">
        <f>0.256837/2</f>
        <v>0.12841849999999999</v>
      </c>
      <c r="CI51" s="50">
        <f>CE51+CH51</f>
        <v>-877.70338050000009</v>
      </c>
      <c r="CL51" s="21">
        <v>12</v>
      </c>
      <c r="CM51" s="49">
        <v>-872.48799199999996</v>
      </c>
      <c r="CN51" s="49"/>
      <c r="CO51" s="49" t="s">
        <v>904</v>
      </c>
      <c r="CP51" s="49">
        <f>0.428595/2</f>
        <v>0.2142975</v>
      </c>
      <c r="CQ51" s="50">
        <f>CM51+CP51</f>
        <v>-872.27369449999992</v>
      </c>
      <c r="CS51" s="21">
        <v>12</v>
      </c>
      <c r="CT51" s="49">
        <v>-873.86177499999997</v>
      </c>
      <c r="CU51" s="49"/>
      <c r="CV51" s="49" t="s">
        <v>908</v>
      </c>
      <c r="CW51" s="49">
        <f>0.461425/2</f>
        <v>0.23071249999999999</v>
      </c>
      <c r="CX51" s="50">
        <f>CT51+CW51</f>
        <v>-873.63106249999998</v>
      </c>
      <c r="CZ51" s="21">
        <v>12</v>
      </c>
      <c r="DA51" s="49">
        <v>-863.31765099999996</v>
      </c>
      <c r="DB51" s="49"/>
      <c r="DC51" s="49" t="s">
        <v>905</v>
      </c>
      <c r="DD51" s="49">
        <f>0.356444/2</f>
        <v>0.17822199999999999</v>
      </c>
      <c r="DE51" s="50">
        <f>DA51+DD51</f>
        <v>-863.13942899999995</v>
      </c>
    </row>
    <row r="52" spans="1:109" ht="15" thickBot="1" x14ac:dyDescent="0.25">
      <c r="A52" s="176"/>
      <c r="B52" s="23" t="s">
        <v>270</v>
      </c>
      <c r="C52" s="51"/>
      <c r="D52" s="51"/>
      <c r="E52" s="51"/>
      <c r="F52" s="51"/>
      <c r="G52" s="54"/>
      <c r="J52" s="23" t="s">
        <v>270</v>
      </c>
      <c r="K52" s="51"/>
      <c r="L52" s="51"/>
      <c r="M52" s="51"/>
      <c r="N52" s="51"/>
      <c r="O52" s="54"/>
      <c r="R52" s="23" t="s">
        <v>270</v>
      </c>
      <c r="S52" s="51"/>
      <c r="T52" s="51"/>
      <c r="U52" s="51"/>
      <c r="V52" s="51"/>
      <c r="W52" s="54"/>
      <c r="Y52" s="23" t="s">
        <v>270</v>
      </c>
      <c r="Z52" s="51"/>
      <c r="AA52" s="51"/>
      <c r="AB52" s="51"/>
      <c r="AC52" s="51"/>
      <c r="AD52" s="54"/>
      <c r="AG52" s="23" t="s">
        <v>270</v>
      </c>
      <c r="AH52" s="51"/>
      <c r="AI52" s="51"/>
      <c r="AJ52" s="51"/>
      <c r="AK52" s="51"/>
      <c r="AL52" s="54"/>
      <c r="AN52" s="23" t="s">
        <v>270</v>
      </c>
      <c r="AO52" s="51"/>
      <c r="AP52" s="51"/>
      <c r="AQ52" s="51"/>
      <c r="AR52" s="51"/>
      <c r="AS52" s="54"/>
      <c r="AU52" s="23" t="s">
        <v>270</v>
      </c>
      <c r="AV52" s="51"/>
      <c r="AW52" s="51"/>
      <c r="AX52" s="51"/>
      <c r="AY52" s="51"/>
      <c r="AZ52" s="54"/>
      <c r="BB52" s="23" t="s">
        <v>270</v>
      </c>
      <c r="BC52" s="51"/>
      <c r="BD52" s="51"/>
      <c r="BE52" s="51"/>
      <c r="BF52" s="51"/>
      <c r="BG52" s="54"/>
      <c r="BI52" s="23" t="s">
        <v>270</v>
      </c>
      <c r="BJ52" s="51"/>
      <c r="BK52" s="51"/>
      <c r="BL52" s="51"/>
      <c r="BM52" s="51"/>
      <c r="BN52" s="54"/>
      <c r="BP52" s="23" t="s">
        <v>270</v>
      </c>
      <c r="BQ52" s="51"/>
      <c r="BR52" s="51"/>
      <c r="BS52" s="51"/>
      <c r="BT52" s="51"/>
      <c r="BU52" s="54"/>
      <c r="BW52" s="23" t="s">
        <v>270</v>
      </c>
      <c r="BX52" s="51"/>
      <c r="BY52" s="51"/>
      <c r="BZ52" s="51"/>
      <c r="CA52" s="51"/>
      <c r="CB52" s="54"/>
      <c r="CD52" s="23" t="s">
        <v>270</v>
      </c>
      <c r="CE52" s="51"/>
      <c r="CF52" s="51"/>
      <c r="CG52" s="51"/>
      <c r="CH52" s="51"/>
      <c r="CI52" s="54"/>
      <c r="CL52" s="23" t="s">
        <v>270</v>
      </c>
      <c r="CM52" s="51"/>
      <c r="CN52" s="51"/>
      <c r="CO52" s="51"/>
      <c r="CP52" s="51"/>
      <c r="CQ52" s="54"/>
      <c r="CS52" s="23" t="s">
        <v>270</v>
      </c>
      <c r="CT52" s="51"/>
      <c r="CU52" s="51"/>
      <c r="CV52" s="51"/>
      <c r="CW52" s="51"/>
      <c r="CX52" s="54"/>
      <c r="CZ52" s="23" t="s">
        <v>270</v>
      </c>
      <c r="DA52" s="51"/>
      <c r="DB52" s="51"/>
      <c r="DC52" s="51"/>
      <c r="DD52" s="51"/>
      <c r="DE52" s="54"/>
    </row>
    <row r="54" spans="1:109" x14ac:dyDescent="0.2">
      <c r="N54" s="22"/>
      <c r="O54">
        <v>-890.04810400000008</v>
      </c>
      <c r="W54">
        <v>-896.63879249999991</v>
      </c>
      <c r="AD54">
        <v>-891.62037349999991</v>
      </c>
      <c r="AL54">
        <v>-894.32536849999997</v>
      </c>
      <c r="AS54">
        <v>-892.28485699999999</v>
      </c>
      <c r="AZ54">
        <v>-892.98605250000003</v>
      </c>
      <c r="CX54">
        <v>-891.61097500000005</v>
      </c>
    </row>
    <row r="55" spans="1:109" x14ac:dyDescent="0.2">
      <c r="H55">
        <v>-888.05519900000002</v>
      </c>
      <c r="N55" s="22"/>
      <c r="O55">
        <v>-875.23497350000002</v>
      </c>
      <c r="W55">
        <v>-880.43907249999995</v>
      </c>
      <c r="AD55">
        <v>-876.05434649999995</v>
      </c>
      <c r="AL55">
        <v>-878.47784899999999</v>
      </c>
      <c r="AS55">
        <v>-876.78426000000002</v>
      </c>
      <c r="AZ55">
        <v>-877.22891250000009</v>
      </c>
      <c r="BG55">
        <v>-894.85120199999994</v>
      </c>
      <c r="CX55">
        <v>-874.30922999999996</v>
      </c>
    </row>
    <row r="56" spans="1:109" x14ac:dyDescent="0.2">
      <c r="H56">
        <v>-873.96556149999992</v>
      </c>
      <c r="N56" s="22"/>
      <c r="O56">
        <v>-875.28951299999994</v>
      </c>
      <c r="W56">
        <v>-879.06521050000003</v>
      </c>
      <c r="AD56">
        <v>-875.37410950000003</v>
      </c>
      <c r="AL56">
        <v>-877.17163750000009</v>
      </c>
      <c r="AS56">
        <v>-876.21290450000004</v>
      </c>
      <c r="AZ56">
        <v>-876.81898200000001</v>
      </c>
      <c r="BG56">
        <v>-878.75400599999989</v>
      </c>
      <c r="BN56">
        <v>-885.69379249999997</v>
      </c>
      <c r="CX56">
        <v>-879.21568650000006</v>
      </c>
    </row>
    <row r="57" spans="1:109" x14ac:dyDescent="0.2">
      <c r="H57">
        <v>-875.01836199999991</v>
      </c>
      <c r="N57" s="22"/>
      <c r="O57">
        <v>-885.87192800000003</v>
      </c>
      <c r="W57">
        <v>-892.09500349999996</v>
      </c>
      <c r="AD57">
        <v>-888.34006950000003</v>
      </c>
      <c r="AL57">
        <v>-891.71108650000008</v>
      </c>
      <c r="AS57">
        <v>-888.69187699999998</v>
      </c>
      <c r="AZ57">
        <v>-889.49351449999995</v>
      </c>
      <c r="BG57">
        <v>-877.46814499999994</v>
      </c>
      <c r="BN57">
        <v>-871.74766850000003</v>
      </c>
      <c r="CX57">
        <v>-887.01720699999998</v>
      </c>
    </row>
    <row r="58" spans="1:109" x14ac:dyDescent="0.2">
      <c r="H58">
        <v>-883.605234</v>
      </c>
      <c r="N58" s="22"/>
      <c r="O58">
        <v>-967.06787799999995</v>
      </c>
      <c r="W58">
        <v>-973.55732850000004</v>
      </c>
      <c r="AD58">
        <v>-968.53539250000006</v>
      </c>
      <c r="AL58">
        <v>-957.77903750000007</v>
      </c>
      <c r="AS58">
        <v>-969.04594049999992</v>
      </c>
      <c r="AZ58">
        <v>-970.03318550000006</v>
      </c>
      <c r="BG58">
        <v>-890.31053099999997</v>
      </c>
      <c r="BN58">
        <v>-871.7883374999999</v>
      </c>
      <c r="CX58">
        <v>-968.76092749999998</v>
      </c>
    </row>
    <row r="59" spans="1:109" x14ac:dyDescent="0.2">
      <c r="H59">
        <v>-966.14116000000001</v>
      </c>
      <c r="N59" s="22"/>
      <c r="O59">
        <v>-973.14099299999998</v>
      </c>
      <c r="W59">
        <v>-979.761752</v>
      </c>
      <c r="AD59">
        <v>-974.66753100000005</v>
      </c>
      <c r="AL59">
        <v>-977.50151749999998</v>
      </c>
      <c r="AS59">
        <v>-975.38955899999996</v>
      </c>
      <c r="AZ59">
        <v>-976.1432145</v>
      </c>
      <c r="BG59">
        <v>-971.86283249999997</v>
      </c>
      <c r="BN59">
        <v>-881.13965350000001</v>
      </c>
      <c r="CX59">
        <v>-974.95954399999994</v>
      </c>
    </row>
    <row r="60" spans="1:109" x14ac:dyDescent="0.2">
      <c r="H60">
        <v>-972.22238449999998</v>
      </c>
      <c r="N60" s="22"/>
      <c r="O60">
        <v>-875.9911229999999</v>
      </c>
      <c r="W60">
        <v>-882.47360249999997</v>
      </c>
      <c r="AD60">
        <v>-880.20560500000011</v>
      </c>
      <c r="AL60">
        <v>-881.9626750000001</v>
      </c>
      <c r="AS60">
        <v>-881.38661149999996</v>
      </c>
      <c r="AZ60">
        <v>-879.74105300000008</v>
      </c>
      <c r="BG60">
        <v>-978.13332200000002</v>
      </c>
      <c r="BN60">
        <v>-963.67802400000005</v>
      </c>
      <c r="CX60">
        <v>-876.07880649999993</v>
      </c>
    </row>
    <row r="61" spans="1:109" x14ac:dyDescent="0.2">
      <c r="H61">
        <v>-874.6632055</v>
      </c>
      <c r="N61" s="20"/>
      <c r="O61">
        <v>-881.56653399999993</v>
      </c>
      <c r="W61">
        <v>-887.07791650000001</v>
      </c>
      <c r="AD61">
        <v>-882.61409749999996</v>
      </c>
      <c r="AL61">
        <v>-887.60242149999999</v>
      </c>
      <c r="AS61">
        <v>-885.0862075</v>
      </c>
      <c r="AZ61">
        <v>-885.19573500000001</v>
      </c>
      <c r="BG61">
        <v>-879.28093999999999</v>
      </c>
      <c r="BN61">
        <v>-968.83837900000003</v>
      </c>
      <c r="CX61">
        <v>-881.65058699999997</v>
      </c>
    </row>
    <row r="62" spans="1:109" x14ac:dyDescent="0.2">
      <c r="H62">
        <v>-880.21828549999998</v>
      </c>
      <c r="N62" s="22"/>
      <c r="O62">
        <v>-886.17164550000007</v>
      </c>
      <c r="W62">
        <v>-892.75851800000009</v>
      </c>
      <c r="AD62">
        <v>-887.74319449999996</v>
      </c>
      <c r="AL62">
        <v>-890.45859350000001</v>
      </c>
      <c r="AS62">
        <v>-888.34398899999997</v>
      </c>
      <c r="AZ62">
        <v>-889.060654</v>
      </c>
      <c r="BG62">
        <v>-885.24030249999998</v>
      </c>
      <c r="BN62">
        <v>-870.90651450000007</v>
      </c>
      <c r="CX62">
        <v>-887.64668400000005</v>
      </c>
    </row>
    <row r="63" spans="1:109" x14ac:dyDescent="0.2">
      <c r="H63">
        <v>-885.0369905</v>
      </c>
      <c r="BG63">
        <v>-890.97411750000003</v>
      </c>
      <c r="BN63">
        <v>-876.24071800000002</v>
      </c>
    </row>
    <row r="64" spans="1:109" x14ac:dyDescent="0.2">
      <c r="BN64">
        <v>-881.66895299999999</v>
      </c>
    </row>
  </sheetData>
  <mergeCells count="196">
    <mergeCell ref="BP49:BU49"/>
    <mergeCell ref="BW49:CB49"/>
    <mergeCell ref="CD49:CI49"/>
    <mergeCell ref="CL49:CQ49"/>
    <mergeCell ref="CS49:CX49"/>
    <mergeCell ref="CZ49:DE49"/>
    <mergeCell ref="B49:G49"/>
    <mergeCell ref="J49:O49"/>
    <mergeCell ref="R49:W49"/>
    <mergeCell ref="AG49:AL49"/>
    <mergeCell ref="AN49:AS49"/>
    <mergeCell ref="AU49:AZ49"/>
    <mergeCell ref="Y49:AD49"/>
    <mergeCell ref="A49:A52"/>
    <mergeCell ref="BB49:BG49"/>
    <mergeCell ref="BI49:BN49"/>
    <mergeCell ref="CZ2:DE2"/>
    <mergeCell ref="CZ6:DE6"/>
    <mergeCell ref="CZ10:DE10"/>
    <mergeCell ref="CZ14:DE14"/>
    <mergeCell ref="CZ18:DE18"/>
    <mergeCell ref="CZ27:DE27"/>
    <mergeCell ref="CS2:CX2"/>
    <mergeCell ref="CS6:CX6"/>
    <mergeCell ref="CS10:CX10"/>
    <mergeCell ref="CS14:CX14"/>
    <mergeCell ref="CS18:CX18"/>
    <mergeCell ref="CS27:CX27"/>
    <mergeCell ref="CL2:CQ2"/>
    <mergeCell ref="CL6:CQ6"/>
    <mergeCell ref="CL10:CQ10"/>
    <mergeCell ref="CL14:CQ14"/>
    <mergeCell ref="CL18:CQ18"/>
    <mergeCell ref="CL27:CQ27"/>
    <mergeCell ref="CD2:CI2"/>
    <mergeCell ref="CD6:CI6"/>
    <mergeCell ref="CD10:CI10"/>
    <mergeCell ref="CD14:CI14"/>
    <mergeCell ref="CD18:CI18"/>
    <mergeCell ref="CD27:CI27"/>
    <mergeCell ref="AN2:AS2"/>
    <mergeCell ref="AN6:AS6"/>
    <mergeCell ref="AU22:AZ22"/>
    <mergeCell ref="BW2:CB2"/>
    <mergeCell ref="BW6:CB6"/>
    <mergeCell ref="BW10:CB10"/>
    <mergeCell ref="BW14:CB14"/>
    <mergeCell ref="BW18:CB18"/>
    <mergeCell ref="BW27:CB27"/>
    <mergeCell ref="BP2:BU2"/>
    <mergeCell ref="BP6:BU6"/>
    <mergeCell ref="BP10:BU10"/>
    <mergeCell ref="BP14:BU14"/>
    <mergeCell ref="BW22:CB22"/>
    <mergeCell ref="BP18:BU18"/>
    <mergeCell ref="BI6:BN6"/>
    <mergeCell ref="BI10:BN10"/>
    <mergeCell ref="BI14:BN14"/>
    <mergeCell ref="BI18:BN18"/>
    <mergeCell ref="BI27:BN27"/>
    <mergeCell ref="BB6:BG6"/>
    <mergeCell ref="BB10:BG10"/>
    <mergeCell ref="BB14:BG14"/>
    <mergeCell ref="BB18:BG18"/>
    <mergeCell ref="BB27:BG27"/>
    <mergeCell ref="B37:G37"/>
    <mergeCell ref="R32:W32"/>
    <mergeCell ref="R37:W37"/>
    <mergeCell ref="B22:G22"/>
    <mergeCell ref="BB22:BG22"/>
    <mergeCell ref="AU10:AZ10"/>
    <mergeCell ref="AU14:AZ14"/>
    <mergeCell ref="AU18:AZ18"/>
    <mergeCell ref="AU27:AZ27"/>
    <mergeCell ref="BB32:BG32"/>
    <mergeCell ref="BB37:BG37"/>
    <mergeCell ref="B41:G41"/>
    <mergeCell ref="J2:O2"/>
    <mergeCell ref="J6:O6"/>
    <mergeCell ref="J10:O10"/>
    <mergeCell ref="J14:O14"/>
    <mergeCell ref="J18:O18"/>
    <mergeCell ref="J27:O27"/>
    <mergeCell ref="B32:G32"/>
    <mergeCell ref="B18:G18"/>
    <mergeCell ref="J32:O32"/>
    <mergeCell ref="J37:O37"/>
    <mergeCell ref="J41:O41"/>
    <mergeCell ref="CS1:CX1"/>
    <mergeCell ref="CZ1:DE1"/>
    <mergeCell ref="B2:G2"/>
    <mergeCell ref="B6:G6"/>
    <mergeCell ref="B10:G10"/>
    <mergeCell ref="Y2:AD2"/>
    <mergeCell ref="Y6:AD6"/>
    <mergeCell ref="Y10:AD10"/>
    <mergeCell ref="AU2:AZ2"/>
    <mergeCell ref="AU1:AZ1"/>
    <mergeCell ref="BB1:BG1"/>
    <mergeCell ref="BI1:BN1"/>
    <mergeCell ref="BP1:BU1"/>
    <mergeCell ref="BW1:CB1"/>
    <mergeCell ref="B1:G1"/>
    <mergeCell ref="J1:O1"/>
    <mergeCell ref="R1:W1"/>
    <mergeCell ref="Y1:AD1"/>
    <mergeCell ref="AG1:AL1"/>
    <mergeCell ref="AN1:AS1"/>
    <mergeCell ref="AU6:AZ6"/>
    <mergeCell ref="AG2:AL2"/>
    <mergeCell ref="AG6:AL6"/>
    <mergeCell ref="AG10:AL10"/>
    <mergeCell ref="BP27:BU27"/>
    <mergeCell ref="BP22:BU22"/>
    <mergeCell ref="CD1:CI1"/>
    <mergeCell ref="B27:G27"/>
    <mergeCell ref="CL1:CQ1"/>
    <mergeCell ref="Y14:AD14"/>
    <mergeCell ref="Y18:AD18"/>
    <mergeCell ref="Y27:AD27"/>
    <mergeCell ref="AG14:AL14"/>
    <mergeCell ref="AG18:AL18"/>
    <mergeCell ref="AG27:AL27"/>
    <mergeCell ref="R2:W2"/>
    <mergeCell ref="R6:W6"/>
    <mergeCell ref="R10:W10"/>
    <mergeCell ref="R14:W14"/>
    <mergeCell ref="R18:W18"/>
    <mergeCell ref="R27:W27"/>
    <mergeCell ref="B14:G14"/>
    <mergeCell ref="AN10:AS10"/>
    <mergeCell ref="AN14:AS14"/>
    <mergeCell ref="AN18:AS18"/>
    <mergeCell ref="AN27:AS27"/>
    <mergeCell ref="BI2:BN2"/>
    <mergeCell ref="BB2:BG2"/>
    <mergeCell ref="BB41:BG41"/>
    <mergeCell ref="BP41:BU41"/>
    <mergeCell ref="BP37:BU37"/>
    <mergeCell ref="R41:W41"/>
    <mergeCell ref="Y32:AD32"/>
    <mergeCell ref="Y37:AD37"/>
    <mergeCell ref="Y41:AD41"/>
    <mergeCell ref="AG32:AL32"/>
    <mergeCell ref="AG37:AL37"/>
    <mergeCell ref="AG41:AL41"/>
    <mergeCell ref="BP32:BU32"/>
    <mergeCell ref="AU37:AZ37"/>
    <mergeCell ref="B45:G45"/>
    <mergeCell ref="J22:O22"/>
    <mergeCell ref="J45:O45"/>
    <mergeCell ref="R22:W22"/>
    <mergeCell ref="R45:W45"/>
    <mergeCell ref="Y22:AD22"/>
    <mergeCell ref="Y45:AD45"/>
    <mergeCell ref="CZ32:DE32"/>
    <mergeCell ref="CZ37:DE37"/>
    <mergeCell ref="CZ41:DE41"/>
    <mergeCell ref="AG22:AL22"/>
    <mergeCell ref="CD22:CI22"/>
    <mergeCell ref="CD32:CI32"/>
    <mergeCell ref="CD37:CI37"/>
    <mergeCell ref="CD41:CI41"/>
    <mergeCell ref="CL32:CQ32"/>
    <mergeCell ref="CL37:CQ37"/>
    <mergeCell ref="CL41:CQ41"/>
    <mergeCell ref="CS32:CX32"/>
    <mergeCell ref="CS37:CX37"/>
    <mergeCell ref="CS41:CX41"/>
    <mergeCell ref="BI32:BN32"/>
    <mergeCell ref="BI37:BN37"/>
    <mergeCell ref="CL45:CQ45"/>
    <mergeCell ref="CS45:CX45"/>
    <mergeCell ref="CZ22:DE22"/>
    <mergeCell ref="CZ45:DE45"/>
    <mergeCell ref="AG45:AL45"/>
    <mergeCell ref="AN22:AS22"/>
    <mergeCell ref="AN45:AS45"/>
    <mergeCell ref="AU45:AZ45"/>
    <mergeCell ref="BB45:BG45"/>
    <mergeCell ref="BI22:BN22"/>
    <mergeCell ref="BI45:BN45"/>
    <mergeCell ref="BP45:BU45"/>
    <mergeCell ref="BW45:CB45"/>
    <mergeCell ref="BI41:BN41"/>
    <mergeCell ref="CL22:CQ22"/>
    <mergeCell ref="CS22:CX22"/>
    <mergeCell ref="BW32:CB32"/>
    <mergeCell ref="BW37:CB37"/>
    <mergeCell ref="BW41:CB41"/>
    <mergeCell ref="AN32:AS32"/>
    <mergeCell ref="AN37:AS37"/>
    <mergeCell ref="AN41:AS41"/>
    <mergeCell ref="AU32:AZ32"/>
    <mergeCell ref="CD45:CI45"/>
    <mergeCell ref="AU41:AZ41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6D5D-5F9D-4CB1-82BD-7847139E6128}">
  <dimension ref="A1:L45"/>
  <sheetViews>
    <sheetView workbookViewId="0">
      <selection activeCell="J22" sqref="J22"/>
    </sheetView>
  </sheetViews>
  <sheetFormatPr defaultRowHeight="14.25" x14ac:dyDescent="0.2"/>
  <cols>
    <col min="2" max="2" width="9" style="26"/>
    <col min="3" max="3" width="12.875" style="43" bestFit="1" customWidth="1"/>
    <col min="8" max="8" width="13" bestFit="1" customWidth="1"/>
    <col min="10" max="10" width="14.375" customWidth="1"/>
    <col min="11" max="12" width="12.5" customWidth="1"/>
  </cols>
  <sheetData>
    <row r="1" spans="1:12" x14ac:dyDescent="0.2">
      <c r="I1" s="116"/>
      <c r="J1" s="116"/>
      <c r="K1" s="116"/>
    </row>
    <row r="2" spans="1:12" ht="28.5" x14ac:dyDescent="0.2">
      <c r="B2" s="26" t="s">
        <v>380</v>
      </c>
      <c r="C2" s="43" t="s">
        <v>577</v>
      </c>
      <c r="I2" s="116"/>
      <c r="J2" s="73" t="s">
        <v>780</v>
      </c>
      <c r="K2" s="73" t="s">
        <v>781</v>
      </c>
      <c r="L2" s="121" t="s">
        <v>782</v>
      </c>
    </row>
    <row r="3" spans="1:12" x14ac:dyDescent="0.2">
      <c r="A3">
        <v>7</v>
      </c>
      <c r="B3" s="26" t="s">
        <v>387</v>
      </c>
      <c r="C3" s="43">
        <v>1.1200000000000001</v>
      </c>
      <c r="D3">
        <v>1</v>
      </c>
      <c r="I3" s="116" t="s">
        <v>779</v>
      </c>
      <c r="J3" s="116">
        <v>-3.24</v>
      </c>
      <c r="K3" s="116">
        <v>0.03</v>
      </c>
      <c r="L3">
        <f>ABS(J3-K3)</f>
        <v>3.27</v>
      </c>
    </row>
    <row r="4" spans="1:12" x14ac:dyDescent="0.2">
      <c r="B4" s="26" t="s">
        <v>449</v>
      </c>
      <c r="C4" s="43">
        <v>0.70233999999993557</v>
      </c>
      <c r="D4">
        <v>2</v>
      </c>
      <c r="I4" s="116" t="s">
        <v>690</v>
      </c>
      <c r="J4" s="116">
        <v>-1.91</v>
      </c>
      <c r="K4" s="116">
        <v>0.68</v>
      </c>
      <c r="L4">
        <f t="shared" ref="L4:L17" si="0">ABS(J4-K4)</f>
        <v>2.59</v>
      </c>
    </row>
    <row r="5" spans="1:12" x14ac:dyDescent="0.2">
      <c r="A5">
        <v>10</v>
      </c>
      <c r="B5" s="26" t="s">
        <v>390</v>
      </c>
      <c r="C5" s="43">
        <v>0.56000000000000005</v>
      </c>
      <c r="D5">
        <v>3</v>
      </c>
      <c r="I5" s="116" t="s">
        <v>691</v>
      </c>
      <c r="J5" s="116">
        <v>2.96</v>
      </c>
      <c r="K5" s="116">
        <v>2.89</v>
      </c>
      <c r="L5">
        <f t="shared" si="0"/>
        <v>6.999999999999984E-2</v>
      </c>
    </row>
    <row r="6" spans="1:12" x14ac:dyDescent="0.2">
      <c r="B6" s="26" t="s">
        <v>430</v>
      </c>
      <c r="C6" s="43">
        <v>0.49568499999998039</v>
      </c>
      <c r="D6">
        <v>4</v>
      </c>
      <c r="I6" s="116" t="s">
        <v>692</v>
      </c>
      <c r="J6" s="116">
        <v>-1.43</v>
      </c>
      <c r="K6" s="116">
        <v>-0.92</v>
      </c>
      <c r="L6">
        <f t="shared" si="0"/>
        <v>0.5099999999999999</v>
      </c>
    </row>
    <row r="7" spans="1:12" x14ac:dyDescent="0.2">
      <c r="A7">
        <v>3</v>
      </c>
      <c r="B7" s="26" t="s">
        <v>383</v>
      </c>
      <c r="C7" s="43">
        <v>0.4</v>
      </c>
      <c r="D7">
        <v>5</v>
      </c>
      <c r="I7" s="116" t="s">
        <v>693</v>
      </c>
      <c r="J7" s="116">
        <v>-0.25</v>
      </c>
      <c r="K7" s="116">
        <v>0.05</v>
      </c>
      <c r="L7">
        <f t="shared" si="0"/>
        <v>0.3</v>
      </c>
    </row>
    <row r="8" spans="1:12" x14ac:dyDescent="0.2">
      <c r="A8">
        <v>9</v>
      </c>
      <c r="B8" s="26" t="s">
        <v>389</v>
      </c>
      <c r="C8" s="43">
        <v>0.33</v>
      </c>
      <c r="D8">
        <v>6</v>
      </c>
      <c r="I8" s="116" t="s">
        <v>694</v>
      </c>
      <c r="J8" s="116">
        <v>-1.21</v>
      </c>
      <c r="K8" s="116">
        <v>-0.23</v>
      </c>
      <c r="L8">
        <f t="shared" si="0"/>
        <v>0.98</v>
      </c>
    </row>
    <row r="9" spans="1:12" x14ac:dyDescent="0.2">
      <c r="A9">
        <v>2</v>
      </c>
      <c r="B9" s="26" t="s">
        <v>382</v>
      </c>
      <c r="C9" s="43">
        <v>0.31</v>
      </c>
      <c r="D9">
        <v>7</v>
      </c>
      <c r="I9" s="116" t="s">
        <v>695</v>
      </c>
      <c r="J9" s="116">
        <v>-0.77</v>
      </c>
      <c r="K9" s="116">
        <v>-0.01</v>
      </c>
      <c r="L9">
        <f t="shared" si="0"/>
        <v>0.76</v>
      </c>
    </row>
    <row r="10" spans="1:12" x14ac:dyDescent="0.2">
      <c r="A10">
        <v>1</v>
      </c>
      <c r="B10" s="26" t="s">
        <v>381</v>
      </c>
      <c r="C10" s="43">
        <v>0.30264500000009775</v>
      </c>
      <c r="D10">
        <v>8</v>
      </c>
      <c r="I10" s="116" t="s">
        <v>696</v>
      </c>
      <c r="J10" s="116">
        <v>2.89</v>
      </c>
      <c r="K10" s="116">
        <v>2.78</v>
      </c>
      <c r="L10">
        <f t="shared" si="0"/>
        <v>0.11000000000000032</v>
      </c>
    </row>
    <row r="11" spans="1:12" x14ac:dyDescent="0.2">
      <c r="A11">
        <v>4</v>
      </c>
      <c r="B11" s="26" t="s">
        <v>384</v>
      </c>
      <c r="C11" s="43">
        <v>0.27</v>
      </c>
      <c r="D11">
        <v>9</v>
      </c>
      <c r="I11" s="116" t="s">
        <v>697</v>
      </c>
      <c r="J11" s="116">
        <v>-3.24</v>
      </c>
      <c r="K11" s="116">
        <v>-0.87</v>
      </c>
      <c r="L11">
        <f t="shared" si="0"/>
        <v>2.37</v>
      </c>
    </row>
    <row r="12" spans="1:12" x14ac:dyDescent="0.2">
      <c r="A12">
        <v>8</v>
      </c>
      <c r="B12" s="26" t="s">
        <v>388</v>
      </c>
      <c r="C12" s="43">
        <v>0.22</v>
      </c>
      <c r="D12">
        <v>10</v>
      </c>
      <c r="I12" s="116" t="s">
        <v>698</v>
      </c>
      <c r="J12" s="116">
        <v>2</v>
      </c>
      <c r="K12" s="116">
        <v>1.99</v>
      </c>
      <c r="L12">
        <f t="shared" si="0"/>
        <v>1.0000000000000009E-2</v>
      </c>
    </row>
    <row r="13" spans="1:12" x14ac:dyDescent="0.2">
      <c r="B13" s="26" t="s">
        <v>450</v>
      </c>
      <c r="C13" s="43">
        <v>0.18605200000001787</v>
      </c>
      <c r="D13">
        <v>11</v>
      </c>
      <c r="I13" s="116" t="s">
        <v>699</v>
      </c>
      <c r="J13" s="116">
        <v>-0.91</v>
      </c>
      <c r="K13" s="116">
        <v>-0.95</v>
      </c>
      <c r="L13">
        <f t="shared" si="0"/>
        <v>3.9999999999999925E-2</v>
      </c>
    </row>
    <row r="14" spans="1:12" x14ac:dyDescent="0.2">
      <c r="A14">
        <v>6</v>
      </c>
      <c r="B14" s="26" t="s">
        <v>386</v>
      </c>
      <c r="C14" s="43">
        <v>0.18</v>
      </c>
      <c r="D14">
        <v>12</v>
      </c>
      <c r="I14" s="116" t="s">
        <v>700</v>
      </c>
      <c r="J14" s="116">
        <v>-0.27</v>
      </c>
      <c r="K14" s="116">
        <v>-0.1</v>
      </c>
      <c r="L14">
        <f t="shared" si="0"/>
        <v>0.17</v>
      </c>
    </row>
    <row r="15" spans="1:12" x14ac:dyDescent="0.2">
      <c r="A15">
        <v>5</v>
      </c>
      <c r="B15" s="26" t="s">
        <v>385</v>
      </c>
      <c r="C15" s="43">
        <v>0.17</v>
      </c>
      <c r="D15">
        <v>13</v>
      </c>
      <c r="I15" s="116" t="s">
        <v>701</v>
      </c>
      <c r="J15" s="116">
        <v>-1.37</v>
      </c>
      <c r="K15" s="116">
        <v>0.1</v>
      </c>
      <c r="L15">
        <f t="shared" si="0"/>
        <v>1.4700000000000002</v>
      </c>
    </row>
    <row r="16" spans="1:12" x14ac:dyDescent="0.2">
      <c r="A16">
        <v>11</v>
      </c>
      <c r="B16" s="26" t="s">
        <v>391</v>
      </c>
      <c r="C16" s="43">
        <v>-0.43</v>
      </c>
      <c r="D16">
        <v>14</v>
      </c>
      <c r="I16" s="116" t="s">
        <v>702</v>
      </c>
      <c r="J16" s="116"/>
      <c r="K16" s="116"/>
      <c r="L16">
        <f t="shared" si="0"/>
        <v>0</v>
      </c>
    </row>
    <row r="17" spans="1:12" x14ac:dyDescent="0.2">
      <c r="A17">
        <v>12</v>
      </c>
      <c r="B17" s="26" t="s">
        <v>392</v>
      </c>
      <c r="C17" s="43">
        <v>-1.1757489999999999</v>
      </c>
      <c r="D17">
        <v>15</v>
      </c>
      <c r="I17" s="116" t="s">
        <v>703</v>
      </c>
      <c r="J17" s="116">
        <v>-2.79</v>
      </c>
      <c r="K17" s="116">
        <v>-1.65</v>
      </c>
      <c r="L17">
        <f t="shared" si="0"/>
        <v>1.1400000000000001</v>
      </c>
    </row>
    <row r="30" spans="1:12" x14ac:dyDescent="0.2">
      <c r="B30" s="48" t="s">
        <v>578</v>
      </c>
      <c r="C30" s="43" t="s">
        <v>579</v>
      </c>
    </row>
    <row r="31" spans="1:12" x14ac:dyDescent="0.2">
      <c r="B31" t="s">
        <v>573</v>
      </c>
      <c r="C31" t="s">
        <v>574</v>
      </c>
    </row>
    <row r="32" spans="1:12" x14ac:dyDescent="0.2">
      <c r="B32" t="s">
        <v>387</v>
      </c>
      <c r="C32">
        <v>1.1299999999999999</v>
      </c>
    </row>
    <row r="33" spans="2:3" x14ac:dyDescent="0.2">
      <c r="B33" t="s">
        <v>383</v>
      </c>
      <c r="C33">
        <v>0.56000000000000005</v>
      </c>
    </row>
    <row r="34" spans="2:3" x14ac:dyDescent="0.2">
      <c r="B34" t="s">
        <v>575</v>
      </c>
      <c r="C34">
        <v>0.52</v>
      </c>
    </row>
    <row r="35" spans="2:3" x14ac:dyDescent="0.2">
      <c r="B35" t="s">
        <v>390</v>
      </c>
      <c r="C35">
        <v>0.44</v>
      </c>
    </row>
    <row r="36" spans="2:3" x14ac:dyDescent="0.2">
      <c r="B36" t="s">
        <v>389</v>
      </c>
      <c r="C36">
        <v>0.33</v>
      </c>
    </row>
    <row r="37" spans="2:3" x14ac:dyDescent="0.2">
      <c r="B37" t="s">
        <v>381</v>
      </c>
      <c r="C37">
        <v>0.28999999999999998</v>
      </c>
    </row>
    <row r="38" spans="2:3" x14ac:dyDescent="0.2">
      <c r="B38" t="s">
        <v>384</v>
      </c>
      <c r="C38">
        <v>0.28000000000000003</v>
      </c>
    </row>
    <row r="39" spans="2:3" x14ac:dyDescent="0.2">
      <c r="B39" t="s">
        <v>388</v>
      </c>
      <c r="C39">
        <v>0.23</v>
      </c>
    </row>
    <row r="40" spans="2:3" x14ac:dyDescent="0.2">
      <c r="B40" t="s">
        <v>576</v>
      </c>
      <c r="C40">
        <v>0.19</v>
      </c>
    </row>
    <row r="41" spans="2:3" x14ac:dyDescent="0.2">
      <c r="B41" t="s">
        <v>382</v>
      </c>
      <c r="C41">
        <v>0.16</v>
      </c>
    </row>
    <row r="42" spans="2:3" x14ac:dyDescent="0.2">
      <c r="B42" t="s">
        <v>385</v>
      </c>
      <c r="C42">
        <v>0.16</v>
      </c>
    </row>
    <row r="43" spans="2:3" x14ac:dyDescent="0.2">
      <c r="B43" t="s">
        <v>386</v>
      </c>
      <c r="C43">
        <v>0.14000000000000001</v>
      </c>
    </row>
    <row r="44" spans="2:3" x14ac:dyDescent="0.2">
      <c r="B44" t="s">
        <v>391</v>
      </c>
      <c r="C44">
        <v>-0.56999999999999995</v>
      </c>
    </row>
    <row r="45" spans="2:3" x14ac:dyDescent="0.2">
      <c r="B45" t="s">
        <v>392</v>
      </c>
      <c r="C45">
        <v>-1.17</v>
      </c>
    </row>
  </sheetData>
  <sortState ref="B31:C45">
    <sortCondition descending="1" ref="C3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8F2A-8BF2-4978-A8CB-D838D33CD609}">
  <dimension ref="A1"/>
  <sheetViews>
    <sheetView workbookViewId="0">
      <selection activeCell="G16" sqref="G1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opLeftCell="B1" zoomScale="70" zoomScaleNormal="70" workbookViewId="0">
      <selection activeCell="F74" sqref="F74"/>
    </sheetView>
  </sheetViews>
  <sheetFormatPr defaultRowHeight="14.25" x14ac:dyDescent="0.2"/>
  <cols>
    <col min="2" max="2" width="21.5" customWidth="1"/>
    <col min="3" max="5" width="9" hidden="1" customWidth="1"/>
    <col min="6" max="6" width="30.125" customWidth="1"/>
    <col min="7" max="7" width="100.125" bestFit="1" customWidth="1"/>
    <col min="8" max="8" width="12.75" bestFit="1" customWidth="1"/>
    <col min="9" max="9" width="105.625" bestFit="1" customWidth="1"/>
    <col min="11" max="11" width="17.625" bestFit="1" customWidth="1"/>
    <col min="13" max="13" width="12.125" customWidth="1"/>
    <col min="14" max="14" width="9.25" customWidth="1"/>
  </cols>
  <sheetData>
    <row r="1" spans="1:11" x14ac:dyDescent="0.2">
      <c r="G1" t="s">
        <v>1</v>
      </c>
    </row>
    <row r="2" spans="1:11" x14ac:dyDescent="0.2">
      <c r="A2" t="s">
        <v>7</v>
      </c>
      <c r="B2" t="s">
        <v>0</v>
      </c>
      <c r="C2" t="s">
        <v>10</v>
      </c>
      <c r="G2" t="s">
        <v>2</v>
      </c>
      <c r="H2" s="177" t="s">
        <v>4</v>
      </c>
    </row>
    <row r="3" spans="1:11" x14ac:dyDescent="0.2">
      <c r="G3" t="s">
        <v>3</v>
      </c>
      <c r="H3" s="177"/>
    </row>
    <row r="5" spans="1:11" x14ac:dyDescent="0.2">
      <c r="F5" t="s">
        <v>6</v>
      </c>
      <c r="G5" t="s">
        <v>5</v>
      </c>
      <c r="H5" t="s">
        <v>10</v>
      </c>
    </row>
    <row r="7" spans="1:11" x14ac:dyDescent="0.2">
      <c r="F7" t="s">
        <v>9</v>
      </c>
      <c r="G7" t="s">
        <v>8</v>
      </c>
    </row>
    <row r="9" spans="1:11" x14ac:dyDescent="0.2">
      <c r="F9" t="s">
        <v>12</v>
      </c>
      <c r="G9" t="s">
        <v>11</v>
      </c>
      <c r="H9" s="1">
        <v>-871.02226800000005</v>
      </c>
    </row>
    <row r="10" spans="1:11" x14ac:dyDescent="0.2">
      <c r="G10" t="s">
        <v>13</v>
      </c>
      <c r="I10" t="s">
        <v>17</v>
      </c>
    </row>
    <row r="11" spans="1:11" x14ac:dyDescent="0.2">
      <c r="G11" t="s">
        <v>14</v>
      </c>
    </row>
    <row r="12" spans="1:11" x14ac:dyDescent="0.2">
      <c r="G12" t="s">
        <v>15</v>
      </c>
    </row>
    <row r="13" spans="1:11" x14ac:dyDescent="0.2">
      <c r="G13" t="s">
        <v>16</v>
      </c>
    </row>
    <row r="14" spans="1:11" x14ac:dyDescent="0.2">
      <c r="G14" s="178" t="s">
        <v>18</v>
      </c>
      <c r="H14" s="179"/>
      <c r="I14" t="s">
        <v>19</v>
      </c>
      <c r="J14" s="1" t="s">
        <v>21</v>
      </c>
      <c r="K14" s="1"/>
    </row>
    <row r="15" spans="1:11" x14ac:dyDescent="0.2">
      <c r="G15" t="s">
        <v>13</v>
      </c>
      <c r="H15" s="1">
        <v>-869.46842100000003</v>
      </c>
    </row>
    <row r="16" spans="1:11" x14ac:dyDescent="0.2">
      <c r="G16" t="s">
        <v>20</v>
      </c>
      <c r="H16" s="1">
        <v>-98.384722999999994</v>
      </c>
    </row>
    <row r="17" spans="6:17" x14ac:dyDescent="0.2">
      <c r="G17" t="s">
        <v>22</v>
      </c>
      <c r="H17" s="1">
        <v>-18.146322000000001</v>
      </c>
    </row>
    <row r="18" spans="6:17" x14ac:dyDescent="0.2">
      <c r="G18" t="s">
        <v>25</v>
      </c>
      <c r="H18" s="1">
        <v>-104.474317</v>
      </c>
    </row>
    <row r="19" spans="6:17" x14ac:dyDescent="0.2">
      <c r="G19" t="s">
        <v>36</v>
      </c>
      <c r="H19" s="1">
        <v>-14.220005</v>
      </c>
    </row>
    <row r="26" spans="6:17" x14ac:dyDescent="0.2">
      <c r="F26" s="2">
        <v>45893</v>
      </c>
      <c r="G26" t="s">
        <v>23</v>
      </c>
      <c r="H26" s="1">
        <v>-888.63093600000002</v>
      </c>
      <c r="I26" t="s">
        <v>26</v>
      </c>
      <c r="L26" s="1">
        <v>-889.02826900000002</v>
      </c>
      <c r="M26" t="s">
        <v>24</v>
      </c>
    </row>
    <row r="27" spans="6:17" x14ac:dyDescent="0.2">
      <c r="I27" t="s">
        <v>29</v>
      </c>
      <c r="J27" t="s">
        <v>31</v>
      </c>
      <c r="K27" t="s">
        <v>30</v>
      </c>
    </row>
    <row r="28" spans="6:17" x14ac:dyDescent="0.2">
      <c r="I28" t="s">
        <v>32</v>
      </c>
      <c r="J28">
        <v>-887.81851700000004</v>
      </c>
      <c r="Q28">
        <v>-987.55331000000001</v>
      </c>
    </row>
    <row r="29" spans="6:17" x14ac:dyDescent="0.2">
      <c r="I29">
        <v>254</v>
      </c>
      <c r="J29">
        <v>-887.84447399999999</v>
      </c>
    </row>
    <row r="30" spans="6:17" ht="15" thickBot="1" x14ac:dyDescent="0.25">
      <c r="G30" t="s">
        <v>27</v>
      </c>
      <c r="H30" s="1">
        <v>-988.086095</v>
      </c>
      <c r="J30">
        <f>J29-H26</f>
        <v>0.78646200000002864</v>
      </c>
      <c r="L30">
        <v>-987.88508000000002</v>
      </c>
      <c r="M30" t="s">
        <v>28</v>
      </c>
    </row>
    <row r="31" spans="6:17" x14ac:dyDescent="0.2">
      <c r="I31" t="s">
        <v>33</v>
      </c>
      <c r="J31" s="1">
        <v>-988.08360000000005</v>
      </c>
      <c r="L31">
        <v>-988.08883800000001</v>
      </c>
      <c r="M31" t="s">
        <v>275</v>
      </c>
      <c r="O31" s="5">
        <v>0</v>
      </c>
      <c r="P31" s="6">
        <f>M40+H17+H16</f>
        <v>-979.97601500000007</v>
      </c>
      <c r="Q31" s="7">
        <v>1</v>
      </c>
    </row>
    <row r="32" spans="6:17" x14ac:dyDescent="0.2">
      <c r="J32" s="3">
        <f>J31-H30</f>
        <v>2.4949999999535066E-3</v>
      </c>
      <c r="L32" s="1">
        <v>-990.292597</v>
      </c>
      <c r="M32" t="s">
        <v>251</v>
      </c>
      <c r="O32" s="8">
        <v>0</v>
      </c>
      <c r="P32" s="9">
        <f>$P$31</f>
        <v>-979.97601500000007</v>
      </c>
      <c r="Q32" s="10">
        <v>1.5</v>
      </c>
    </row>
    <row r="33" spans="7:17" x14ac:dyDescent="0.2">
      <c r="O33" s="8">
        <v>0</v>
      </c>
      <c r="P33" s="9">
        <f>$P$31</f>
        <v>-979.97601500000007</v>
      </c>
      <c r="Q33" s="10">
        <v>2</v>
      </c>
    </row>
    <row r="34" spans="7:17" x14ac:dyDescent="0.2">
      <c r="O34" s="8"/>
      <c r="P34" s="9"/>
      <c r="Q34" s="10">
        <v>2.5</v>
      </c>
    </row>
    <row r="35" spans="7:17" x14ac:dyDescent="0.2">
      <c r="G35" t="s">
        <v>38</v>
      </c>
      <c r="H35" s="1">
        <v>-988.11983399999997</v>
      </c>
      <c r="I35" t="s">
        <v>37</v>
      </c>
      <c r="J35">
        <v>-988.06619999999998</v>
      </c>
      <c r="L35" s="1">
        <v>-990.29260499999998</v>
      </c>
      <c r="M35" t="s">
        <v>39</v>
      </c>
      <c r="O35" s="8">
        <f>P35-P33</f>
        <v>-1.4362399999998843</v>
      </c>
      <c r="P35" s="9">
        <f>M41+H16</f>
        <v>-981.41225499999996</v>
      </c>
      <c r="Q35" s="10">
        <v>3</v>
      </c>
    </row>
    <row r="36" spans="7:17" x14ac:dyDescent="0.2">
      <c r="O36" s="8">
        <f>$O$35</f>
        <v>-1.4362399999998843</v>
      </c>
      <c r="P36" s="9">
        <f>$P$35</f>
        <v>-981.41225499999996</v>
      </c>
      <c r="Q36" s="10">
        <v>3.5</v>
      </c>
    </row>
    <row r="37" spans="7:17" x14ac:dyDescent="0.2">
      <c r="O37" s="8">
        <f>$O$35</f>
        <v>-1.4362399999998843</v>
      </c>
      <c r="P37" s="9">
        <f>$P$35</f>
        <v>-981.41225499999996</v>
      </c>
      <c r="Q37" s="10">
        <v>4</v>
      </c>
    </row>
    <row r="38" spans="7:17" ht="15" thickBot="1" x14ac:dyDescent="0.25">
      <c r="O38" s="8"/>
      <c r="P38" s="9"/>
      <c r="Q38" s="10">
        <v>4.5</v>
      </c>
    </row>
    <row r="39" spans="7:17" x14ac:dyDescent="0.2">
      <c r="K39" s="5"/>
      <c r="L39" s="6"/>
      <c r="M39" s="7" t="s">
        <v>224</v>
      </c>
      <c r="O39" s="8">
        <f>P39-P33</f>
        <v>-2.2067789999998695</v>
      </c>
      <c r="P39" s="9">
        <f>M42</f>
        <v>-982.18279399999994</v>
      </c>
      <c r="Q39" s="10">
        <v>5</v>
      </c>
    </row>
    <row r="40" spans="7:17" x14ac:dyDescent="0.2">
      <c r="G40" t="s">
        <v>35</v>
      </c>
      <c r="H40" s="1">
        <v>-884.66152999999997</v>
      </c>
      <c r="K40" s="8">
        <v>1</v>
      </c>
      <c r="L40" s="9"/>
      <c r="M40" s="10">
        <v>-863.44497000000001</v>
      </c>
      <c r="O40" s="8">
        <f>$O$39</f>
        <v>-2.2067789999998695</v>
      </c>
      <c r="P40" s="9">
        <f>$P$39</f>
        <v>-982.18279399999994</v>
      </c>
      <c r="Q40" s="10">
        <v>5.5</v>
      </c>
    </row>
    <row r="41" spans="7:17" x14ac:dyDescent="0.2">
      <c r="K41" s="8">
        <v>2</v>
      </c>
      <c r="L41" s="9"/>
      <c r="M41" s="38">
        <v>-883.02753199999995</v>
      </c>
      <c r="O41" s="8">
        <f>$O$39</f>
        <v>-2.2067789999998695</v>
      </c>
      <c r="P41" s="9">
        <f>$P$39</f>
        <v>-982.18279399999994</v>
      </c>
      <c r="Q41" s="10">
        <v>6</v>
      </c>
    </row>
    <row r="42" spans="7:17" x14ac:dyDescent="0.2">
      <c r="G42" t="s">
        <v>34</v>
      </c>
      <c r="H42" s="1">
        <v>-870.07132300000001</v>
      </c>
      <c r="K42" s="8">
        <v>3</v>
      </c>
      <c r="L42" s="9"/>
      <c r="M42" s="10">
        <v>-982.18279399999994</v>
      </c>
      <c r="O42" s="8"/>
      <c r="P42" s="9"/>
      <c r="Q42" s="10">
        <v>6.5</v>
      </c>
    </row>
    <row r="43" spans="7:17" x14ac:dyDescent="0.2">
      <c r="K43" s="8">
        <v>4</v>
      </c>
      <c r="L43" s="9"/>
      <c r="M43">
        <v>-981.68710899999996</v>
      </c>
      <c r="O43" s="8">
        <f>P43-P33</f>
        <v>-1.7110939999998891</v>
      </c>
      <c r="P43" s="9">
        <f>M43</f>
        <v>-981.68710899999996</v>
      </c>
      <c r="Q43" s="10">
        <v>7</v>
      </c>
    </row>
    <row r="44" spans="7:17" x14ac:dyDescent="0.2">
      <c r="K44" s="8">
        <v>5</v>
      </c>
      <c r="L44" s="9"/>
      <c r="M44" s="10">
        <v>-984.23781299999996</v>
      </c>
      <c r="O44" s="8">
        <f>$O$43</f>
        <v>-1.7110939999998891</v>
      </c>
      <c r="P44" s="9">
        <f>$P$43</f>
        <v>-981.68710899999996</v>
      </c>
      <c r="Q44" s="10">
        <v>7.5</v>
      </c>
    </row>
    <row r="45" spans="7:17" x14ac:dyDescent="0.2">
      <c r="G45" t="s">
        <v>40</v>
      </c>
      <c r="K45" s="8">
        <v>6</v>
      </c>
      <c r="L45" s="9">
        <v>-884.66152999999997</v>
      </c>
      <c r="M45" s="10">
        <v>-878.62263399999995</v>
      </c>
      <c r="O45" s="8">
        <f>$O$43</f>
        <v>-1.7110939999998891</v>
      </c>
      <c r="P45" s="9">
        <f>$P$43</f>
        <v>-981.68710899999996</v>
      </c>
      <c r="Q45" s="10">
        <v>8</v>
      </c>
    </row>
    <row r="46" spans="7:17" ht="15" thickBot="1" x14ac:dyDescent="0.25">
      <c r="K46" s="11">
        <v>7</v>
      </c>
      <c r="L46" s="12">
        <v>-870.07132300000001</v>
      </c>
      <c r="M46" s="13">
        <v>-863.31769499999996</v>
      </c>
      <c r="O46" s="8"/>
      <c r="P46" s="9"/>
      <c r="Q46" s="10">
        <v>8.5</v>
      </c>
    </row>
    <row r="47" spans="7:17" x14ac:dyDescent="0.2">
      <c r="G47" t="s">
        <v>41</v>
      </c>
      <c r="O47" s="8">
        <f>P47-P33</f>
        <v>-4.2617979999998852</v>
      </c>
      <c r="P47" s="9">
        <f>M44</f>
        <v>-984.23781299999996</v>
      </c>
      <c r="Q47" s="10">
        <v>9</v>
      </c>
    </row>
    <row r="48" spans="7:17" x14ac:dyDescent="0.2">
      <c r="O48" s="8">
        <f>$O$47</f>
        <v>-4.2617979999998852</v>
      </c>
      <c r="P48" s="9">
        <f>$P$47</f>
        <v>-984.23781299999996</v>
      </c>
      <c r="Q48" s="10">
        <v>9.5</v>
      </c>
    </row>
    <row r="49" spans="6:17" x14ac:dyDescent="0.2">
      <c r="O49" s="8">
        <f>$O$47</f>
        <v>-4.2617979999998852</v>
      </c>
      <c r="P49" s="9">
        <f>$P$47</f>
        <v>-984.23781299999996</v>
      </c>
      <c r="Q49" s="10">
        <v>10</v>
      </c>
    </row>
    <row r="50" spans="6:17" x14ac:dyDescent="0.2">
      <c r="G50" t="s">
        <v>42</v>
      </c>
      <c r="I50" t="s">
        <v>43</v>
      </c>
      <c r="J50" t="s">
        <v>45</v>
      </c>
      <c r="O50" s="8"/>
      <c r="P50" s="9"/>
      <c r="Q50" s="10">
        <v>10.5</v>
      </c>
    </row>
    <row r="51" spans="6:17" x14ac:dyDescent="0.2">
      <c r="I51" t="s">
        <v>44</v>
      </c>
      <c r="J51" t="s">
        <v>45</v>
      </c>
      <c r="O51" s="8">
        <f>P51-P33</f>
        <v>-3.1209359999999151</v>
      </c>
      <c r="P51" s="9">
        <f>M45+H18</f>
        <v>-983.09695099999999</v>
      </c>
      <c r="Q51" s="10">
        <v>11</v>
      </c>
    </row>
    <row r="52" spans="6:17" x14ac:dyDescent="0.2">
      <c r="O52" s="8">
        <f>$O$51</f>
        <v>-3.1209359999999151</v>
      </c>
      <c r="P52" s="9">
        <f>$P$51</f>
        <v>-983.09695099999999</v>
      </c>
      <c r="Q52" s="10">
        <v>11.5</v>
      </c>
    </row>
    <row r="53" spans="6:17" x14ac:dyDescent="0.2">
      <c r="O53" s="8">
        <f>$O$51</f>
        <v>-3.1209359999999151</v>
      </c>
      <c r="P53" s="9">
        <f>$P$51</f>
        <v>-983.09695099999999</v>
      </c>
      <c r="Q53" s="10">
        <v>12</v>
      </c>
    </row>
    <row r="54" spans="6:17" x14ac:dyDescent="0.2">
      <c r="F54" t="s">
        <v>47</v>
      </c>
      <c r="G54" t="s">
        <v>46</v>
      </c>
      <c r="O54" s="8"/>
      <c r="P54" s="9"/>
      <c r="Q54" s="10">
        <v>12.5</v>
      </c>
    </row>
    <row r="55" spans="6:17" x14ac:dyDescent="0.2">
      <c r="F55" t="s">
        <v>50</v>
      </c>
      <c r="G55" t="s">
        <v>48</v>
      </c>
      <c r="O55" s="8">
        <f>P55-P33</f>
        <v>-2.0360019999999395</v>
      </c>
      <c r="P55" s="9">
        <f>M46+H18+H19</f>
        <v>-982.01201700000001</v>
      </c>
      <c r="Q55" s="10">
        <v>13</v>
      </c>
    </row>
    <row r="56" spans="6:17" x14ac:dyDescent="0.2">
      <c r="F56" t="s">
        <v>51</v>
      </c>
      <c r="G56" t="s">
        <v>49</v>
      </c>
      <c r="H56" s="1">
        <v>-989.18619899999999</v>
      </c>
      <c r="O56" s="8">
        <f>$O$55</f>
        <v>-2.0360019999999395</v>
      </c>
      <c r="P56" s="9">
        <f>$P$55</f>
        <v>-982.01201700000001</v>
      </c>
      <c r="Q56" s="10">
        <v>13.5</v>
      </c>
    </row>
    <row r="57" spans="6:17" ht="15" thickBot="1" x14ac:dyDescent="0.25">
      <c r="G57" t="s">
        <v>52</v>
      </c>
      <c r="H57" s="4">
        <v>-989.47437100000002</v>
      </c>
      <c r="I57" t="s">
        <v>60</v>
      </c>
      <c r="J57" s="1">
        <v>-989.18619899999999</v>
      </c>
      <c r="L57" s="1">
        <v>-991.70269199999996</v>
      </c>
      <c r="M57" t="s">
        <v>53</v>
      </c>
      <c r="O57" s="11">
        <f>$O$55</f>
        <v>-2.0360019999999395</v>
      </c>
      <c r="P57" s="12">
        <f>$P$55</f>
        <v>-982.01201700000001</v>
      </c>
      <c r="Q57" s="13">
        <v>14</v>
      </c>
    </row>
    <row r="58" spans="6:17" x14ac:dyDescent="0.2">
      <c r="G58" t="s">
        <v>54</v>
      </c>
      <c r="H58" s="1">
        <v>-989.49360999999999</v>
      </c>
      <c r="J58" s="1">
        <f>J57-H58</f>
        <v>0.30741100000000188</v>
      </c>
      <c r="K58">
        <v>0.30741100000000199</v>
      </c>
    </row>
    <row r="61" spans="6:17" x14ac:dyDescent="0.2">
      <c r="G61" t="s">
        <v>55</v>
      </c>
      <c r="H61" s="1">
        <v>-885.97596899999996</v>
      </c>
    </row>
    <row r="62" spans="6:17" x14ac:dyDescent="0.2">
      <c r="G62" t="s">
        <v>56</v>
      </c>
      <c r="H62" s="1">
        <v>-871.12836100000004</v>
      </c>
    </row>
  </sheetData>
  <mergeCells count="2">
    <mergeCell ref="H2:H3"/>
    <mergeCell ref="G14:H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AA3E-6872-470A-AA50-98FBB446551D}">
  <sheetPr>
    <tabColor theme="4"/>
  </sheetPr>
  <dimension ref="A1:I29"/>
  <sheetViews>
    <sheetView workbookViewId="0">
      <selection activeCell="G26" sqref="G26"/>
    </sheetView>
  </sheetViews>
  <sheetFormatPr defaultRowHeight="14.25" x14ac:dyDescent="0.2"/>
  <cols>
    <col min="3" max="3" width="43.25" bestFit="1" customWidth="1"/>
    <col min="5" max="5" width="64.875" bestFit="1" customWidth="1"/>
    <col min="6" max="6" width="13" bestFit="1" customWidth="1"/>
    <col min="7" max="7" width="17.125" bestFit="1" customWidth="1"/>
    <col min="9" max="9" width="30.25" bestFit="1" customWidth="1"/>
  </cols>
  <sheetData>
    <row r="1" spans="1:9" x14ac:dyDescent="0.2">
      <c r="A1">
        <v>1</v>
      </c>
      <c r="B1">
        <v>175</v>
      </c>
      <c r="C1" t="s">
        <v>122</v>
      </c>
      <c r="D1" s="1">
        <v>-873.49615400000005</v>
      </c>
    </row>
    <row r="2" spans="1:9" x14ac:dyDescent="0.2">
      <c r="A2">
        <v>2</v>
      </c>
      <c r="C2" t="s">
        <v>125</v>
      </c>
      <c r="D2">
        <v>-891.90947900000003</v>
      </c>
    </row>
    <row r="3" spans="1:9" x14ac:dyDescent="0.2">
      <c r="A3">
        <v>3</v>
      </c>
      <c r="C3" t="s">
        <v>128</v>
      </c>
      <c r="D3">
        <v>-990.96862699999997</v>
      </c>
      <c r="E3" t="s">
        <v>138</v>
      </c>
      <c r="H3">
        <v>-993.571731</v>
      </c>
      <c r="I3" t="s">
        <v>136</v>
      </c>
    </row>
    <row r="4" spans="1:9" x14ac:dyDescent="0.2">
      <c r="C4" t="s">
        <v>246</v>
      </c>
      <c r="D4" s="1">
        <v>-991.52236100000005</v>
      </c>
    </row>
    <row r="5" spans="1:9" x14ac:dyDescent="0.2">
      <c r="A5">
        <v>4</v>
      </c>
      <c r="E5" t="s">
        <v>138</v>
      </c>
    </row>
    <row r="6" spans="1:9" x14ac:dyDescent="0.2">
      <c r="A6">
        <v>5</v>
      </c>
      <c r="E6" t="s">
        <v>156</v>
      </c>
    </row>
    <row r="7" spans="1:9" x14ac:dyDescent="0.2">
      <c r="A7">
        <v>6</v>
      </c>
      <c r="C7" t="s">
        <v>672</v>
      </c>
      <c r="D7" s="1">
        <v>-887.87527299999999</v>
      </c>
      <c r="E7" t="s">
        <v>161</v>
      </c>
      <c r="G7" t="s">
        <v>164</v>
      </c>
    </row>
    <row r="8" spans="1:9" x14ac:dyDescent="0.2">
      <c r="A8">
        <v>7</v>
      </c>
      <c r="C8" t="s">
        <v>302</v>
      </c>
      <c r="D8" s="1">
        <v>-873.49611500000003</v>
      </c>
      <c r="E8" t="s">
        <v>162</v>
      </c>
      <c r="G8" t="s">
        <v>163</v>
      </c>
    </row>
    <row r="9" spans="1:9" x14ac:dyDescent="0.2">
      <c r="E9" t="s">
        <v>166</v>
      </c>
      <c r="F9" t="s">
        <v>176</v>
      </c>
    </row>
    <row r="10" spans="1:9" x14ac:dyDescent="0.2">
      <c r="E10" t="s">
        <v>165</v>
      </c>
    </row>
    <row r="11" spans="1:9" x14ac:dyDescent="0.2">
      <c r="E11" t="s">
        <v>175</v>
      </c>
      <c r="F11" t="s">
        <v>183</v>
      </c>
    </row>
    <row r="12" spans="1:9" x14ac:dyDescent="0.2">
      <c r="E12" t="s">
        <v>227</v>
      </c>
      <c r="G12" t="s">
        <v>231</v>
      </c>
    </row>
    <row r="13" spans="1:9" x14ac:dyDescent="0.2">
      <c r="E13" t="s">
        <v>232</v>
      </c>
      <c r="F13" t="s">
        <v>245</v>
      </c>
    </row>
    <row r="14" spans="1:9" x14ac:dyDescent="0.2">
      <c r="E14" t="s">
        <v>266</v>
      </c>
    </row>
    <row r="15" spans="1:9" x14ac:dyDescent="0.2">
      <c r="E15" t="s">
        <v>278</v>
      </c>
    </row>
    <row r="16" spans="1:9" x14ac:dyDescent="0.2">
      <c r="E16" t="s">
        <v>281</v>
      </c>
      <c r="F16">
        <v>-990.9633</v>
      </c>
    </row>
    <row r="17" spans="3:8" x14ac:dyDescent="0.2">
      <c r="F17" s="1">
        <f>F16-D4</f>
        <v>0.55906100000004244</v>
      </c>
    </row>
    <row r="23" spans="3:8" x14ac:dyDescent="0.2">
      <c r="C23" t="s">
        <v>510</v>
      </c>
      <c r="D23" s="1">
        <v>-887.08373800000004</v>
      </c>
      <c r="E23" t="s">
        <v>524</v>
      </c>
      <c r="G23" s="1">
        <v>-887.87527299999999</v>
      </c>
      <c r="H23" t="s">
        <v>300</v>
      </c>
    </row>
    <row r="24" spans="3:8" x14ac:dyDescent="0.2">
      <c r="C24" t="s">
        <v>788</v>
      </c>
      <c r="D24" s="180">
        <v>-887.68910000000005</v>
      </c>
      <c r="E24" t="s">
        <v>874</v>
      </c>
    </row>
    <row r="25" spans="3:8" x14ac:dyDescent="0.2">
      <c r="C25" t="s">
        <v>827</v>
      </c>
      <c r="D25" s="180"/>
      <c r="E25" t="s">
        <v>877</v>
      </c>
      <c r="F25" s="1" t="s">
        <v>878</v>
      </c>
    </row>
    <row r="26" spans="3:8" x14ac:dyDescent="0.2">
      <c r="E26" t="s">
        <v>879</v>
      </c>
      <c r="F26">
        <v>-886.74820699999998</v>
      </c>
    </row>
    <row r="27" spans="3:8" x14ac:dyDescent="0.2">
      <c r="F27" s="1">
        <f>F26-D23</f>
        <v>0.33553100000005998</v>
      </c>
    </row>
    <row r="29" spans="3:8" x14ac:dyDescent="0.2">
      <c r="E29" t="s">
        <v>787</v>
      </c>
    </row>
  </sheetData>
  <mergeCells count="1">
    <mergeCell ref="D24:D2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36D6-3FEE-441A-A501-1DF670EA9319}">
  <sheetPr>
    <tabColor theme="4"/>
  </sheetPr>
  <dimension ref="B2:I27"/>
  <sheetViews>
    <sheetView workbookViewId="0">
      <selection activeCell="E23" sqref="E23"/>
    </sheetView>
  </sheetViews>
  <sheetFormatPr defaultRowHeight="14.25" x14ac:dyDescent="0.2"/>
  <cols>
    <col min="3" max="3" width="48.5" bestFit="1" customWidth="1"/>
    <col min="5" max="5" width="68.5" bestFit="1" customWidth="1"/>
    <col min="6" max="6" width="9" bestFit="1" customWidth="1"/>
  </cols>
  <sheetData>
    <row r="2" spans="2:9" x14ac:dyDescent="0.2">
      <c r="B2">
        <v>1</v>
      </c>
      <c r="C2" t="s">
        <v>305</v>
      </c>
      <c r="D2" s="1">
        <v>-872.48800600000004</v>
      </c>
    </row>
    <row r="3" spans="2:9" x14ac:dyDescent="0.2">
      <c r="B3">
        <v>2</v>
      </c>
      <c r="C3" t="s">
        <v>307</v>
      </c>
      <c r="D3" s="1">
        <v>-891.20785899999998</v>
      </c>
    </row>
    <row r="4" spans="2:9" x14ac:dyDescent="0.2">
      <c r="B4">
        <v>3</v>
      </c>
      <c r="C4" t="s">
        <v>308</v>
      </c>
      <c r="D4" s="1">
        <v>-990.26527499999997</v>
      </c>
      <c r="E4" t="s">
        <v>314</v>
      </c>
      <c r="H4" s="1">
        <v>-992.69094199999995</v>
      </c>
      <c r="I4" t="s">
        <v>310</v>
      </c>
    </row>
    <row r="5" spans="2:9" x14ac:dyDescent="0.2">
      <c r="B5">
        <v>4</v>
      </c>
      <c r="E5" t="s">
        <v>341</v>
      </c>
    </row>
    <row r="6" spans="2:9" x14ac:dyDescent="0.2">
      <c r="B6">
        <v>5</v>
      </c>
      <c r="E6" t="s">
        <v>342</v>
      </c>
      <c r="F6" t="s">
        <v>343</v>
      </c>
    </row>
    <row r="7" spans="2:9" x14ac:dyDescent="0.2">
      <c r="B7">
        <v>6</v>
      </c>
      <c r="C7" t="s">
        <v>436</v>
      </c>
      <c r="D7" s="1">
        <v>-887.09024899999997</v>
      </c>
      <c r="E7" t="s">
        <v>346</v>
      </c>
      <c r="F7" t="s">
        <v>230</v>
      </c>
    </row>
    <row r="8" spans="2:9" x14ac:dyDescent="0.2">
      <c r="B8">
        <v>7</v>
      </c>
      <c r="C8" t="s">
        <v>440</v>
      </c>
      <c r="D8" s="1">
        <v>-872.48794099999998</v>
      </c>
      <c r="E8" t="s">
        <v>353</v>
      </c>
      <c r="F8" t="s">
        <v>230</v>
      </c>
    </row>
    <row r="9" spans="2:9" x14ac:dyDescent="0.2">
      <c r="E9" t="s">
        <v>376</v>
      </c>
      <c r="F9">
        <v>135</v>
      </c>
    </row>
    <row r="10" spans="2:9" x14ac:dyDescent="0.2">
      <c r="E10" t="s">
        <v>377</v>
      </c>
      <c r="F10" t="s">
        <v>401</v>
      </c>
    </row>
    <row r="11" spans="2:9" x14ac:dyDescent="0.2">
      <c r="E11" t="s">
        <v>402</v>
      </c>
      <c r="F11" t="s">
        <v>419</v>
      </c>
    </row>
    <row r="12" spans="2:9" x14ac:dyDescent="0.2">
      <c r="E12" t="s">
        <v>420</v>
      </c>
      <c r="F12" s="4">
        <v>-989.56293500000004</v>
      </c>
    </row>
    <row r="13" spans="2:9" x14ac:dyDescent="0.2">
      <c r="F13">
        <f>F12-D4</f>
        <v>0.70233999999993557</v>
      </c>
    </row>
    <row r="15" spans="2:9" x14ac:dyDescent="0.2">
      <c r="E15" t="s">
        <v>531</v>
      </c>
      <c r="F15" s="1">
        <v>-989.93469700000003</v>
      </c>
      <c r="H15">
        <v>10.150135000000001</v>
      </c>
    </row>
    <row r="16" spans="2:9" x14ac:dyDescent="0.2">
      <c r="F16">
        <f>F15-D4</f>
        <v>0.33057799999994586</v>
      </c>
    </row>
    <row r="18" spans="3:8" x14ac:dyDescent="0.2">
      <c r="E18" t="s">
        <v>548</v>
      </c>
      <c r="F18">
        <v>-989.936553</v>
      </c>
    </row>
    <row r="20" spans="3:8" x14ac:dyDescent="0.2">
      <c r="C20" t="s">
        <v>507</v>
      </c>
      <c r="D20">
        <v>-885.58741799999996</v>
      </c>
      <c r="E20" t="s">
        <v>538</v>
      </c>
      <c r="G20" s="4">
        <v>-887.09024899999997</v>
      </c>
      <c r="H20" t="s">
        <v>436</v>
      </c>
    </row>
    <row r="21" spans="3:8" x14ac:dyDescent="0.2">
      <c r="C21" t="s">
        <v>790</v>
      </c>
      <c r="D21" s="1">
        <v>-885.60199999999998</v>
      </c>
      <c r="E21" t="s">
        <v>772</v>
      </c>
      <c r="F21" t="s">
        <v>783</v>
      </c>
      <c r="G21" s="1">
        <v>-886.82278499999995</v>
      </c>
      <c r="H21" t="s">
        <v>791</v>
      </c>
    </row>
    <row r="22" spans="3:8" x14ac:dyDescent="0.2">
      <c r="E22" t="s">
        <v>785</v>
      </c>
      <c r="G22">
        <v>-886.56331999999998</v>
      </c>
      <c r="H22" t="s">
        <v>811</v>
      </c>
    </row>
    <row r="23" spans="3:8" x14ac:dyDescent="0.2">
      <c r="E23" t="s">
        <v>795</v>
      </c>
      <c r="F23" t="s">
        <v>783</v>
      </c>
    </row>
    <row r="24" spans="3:8" x14ac:dyDescent="0.2">
      <c r="E24" t="s">
        <v>798</v>
      </c>
      <c r="F24" t="s">
        <v>783</v>
      </c>
    </row>
    <row r="25" spans="3:8" x14ac:dyDescent="0.2">
      <c r="E25" t="s">
        <v>815</v>
      </c>
      <c r="F25" t="s">
        <v>824</v>
      </c>
    </row>
    <row r="26" spans="3:8" x14ac:dyDescent="0.2">
      <c r="E26" t="s">
        <v>825</v>
      </c>
      <c r="F26" s="1">
        <v>-885.53373499999998</v>
      </c>
    </row>
    <row r="27" spans="3:8" x14ac:dyDescent="0.2">
      <c r="F27">
        <f>F26-D21</f>
        <v>6.8264999999996689E-2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6B0-8D09-4A81-BAE5-518B29A615A4}">
  <sheetPr>
    <tabColor theme="4"/>
  </sheetPr>
  <dimension ref="A1:I20"/>
  <sheetViews>
    <sheetView workbookViewId="0">
      <selection activeCell="E34" sqref="E34"/>
    </sheetView>
  </sheetViews>
  <sheetFormatPr defaultRowHeight="14.25" x14ac:dyDescent="0.2"/>
  <cols>
    <col min="3" max="3" width="51" bestFit="1" customWidth="1"/>
    <col min="5" max="5" width="71.75" bestFit="1" customWidth="1"/>
    <col min="9" max="9" width="48.875" bestFit="1" customWidth="1"/>
  </cols>
  <sheetData>
    <row r="1" spans="1:9" x14ac:dyDescent="0.2">
      <c r="A1">
        <v>1</v>
      </c>
      <c r="B1" t="s">
        <v>190</v>
      </c>
      <c r="C1" t="s">
        <v>191</v>
      </c>
      <c r="D1" s="1">
        <v>-871.71555799999999</v>
      </c>
    </row>
    <row r="2" spans="1:9" x14ac:dyDescent="0.2">
      <c r="A2">
        <v>2</v>
      </c>
      <c r="C2" t="s">
        <v>194</v>
      </c>
      <c r="D2" s="1">
        <v>-891.06260499999996</v>
      </c>
    </row>
    <row r="3" spans="1:9" x14ac:dyDescent="0.2">
      <c r="A3">
        <v>3</v>
      </c>
      <c r="C3" t="s">
        <v>195</v>
      </c>
      <c r="D3" s="1">
        <v>-990.11642600000005</v>
      </c>
      <c r="E3" t="s">
        <v>238</v>
      </c>
      <c r="H3" s="1">
        <v>-992.387293</v>
      </c>
      <c r="I3" t="s">
        <v>200</v>
      </c>
    </row>
    <row r="4" spans="1:9" x14ac:dyDescent="0.2">
      <c r="E4" t="s">
        <v>237</v>
      </c>
      <c r="G4" t="s">
        <v>240</v>
      </c>
    </row>
    <row r="5" spans="1:9" x14ac:dyDescent="0.2">
      <c r="A5">
        <v>4</v>
      </c>
      <c r="E5" t="s">
        <v>241</v>
      </c>
      <c r="F5" s="1">
        <v>-989.79030999999998</v>
      </c>
    </row>
    <row r="6" spans="1:9" x14ac:dyDescent="0.2">
      <c r="A6">
        <v>5</v>
      </c>
      <c r="F6">
        <f>F5-D3</f>
        <v>0.32611600000007002</v>
      </c>
    </row>
    <row r="7" spans="1:9" x14ac:dyDescent="0.2">
      <c r="A7">
        <v>6</v>
      </c>
      <c r="C7" t="s">
        <v>250</v>
      </c>
      <c r="D7" s="1">
        <v>-886.798632</v>
      </c>
    </row>
    <row r="8" spans="1:9" x14ac:dyDescent="0.2">
      <c r="A8">
        <v>7</v>
      </c>
      <c r="C8" t="s">
        <v>258</v>
      </c>
      <c r="D8" s="1">
        <v>-872.09403899999995</v>
      </c>
    </row>
    <row r="17" spans="3:8" x14ac:dyDescent="0.2">
      <c r="C17" t="s">
        <v>508</v>
      </c>
      <c r="D17" s="1">
        <v>-885.47737400000005</v>
      </c>
      <c r="E17" t="s">
        <v>539</v>
      </c>
      <c r="G17" s="1">
        <v>-886.798632</v>
      </c>
      <c r="H17" t="s">
        <v>250</v>
      </c>
    </row>
    <row r="18" spans="3:8" x14ac:dyDescent="0.2">
      <c r="E18" t="s">
        <v>742</v>
      </c>
    </row>
    <row r="19" spans="3:8" x14ac:dyDescent="0.2">
      <c r="E19" t="s">
        <v>773</v>
      </c>
      <c r="F19">
        <v>-885.18824500000005</v>
      </c>
    </row>
    <row r="20" spans="3:8" x14ac:dyDescent="0.2">
      <c r="F20" s="1">
        <f>F19-D17</f>
        <v>0.28912900000000263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E530-8B05-4556-A38F-16220BD42626}">
  <sheetPr>
    <tabColor theme="4"/>
  </sheetPr>
  <dimension ref="A1:I16"/>
  <sheetViews>
    <sheetView topLeftCell="C1" workbookViewId="0">
      <selection activeCell="E25" sqref="E25"/>
    </sheetView>
  </sheetViews>
  <sheetFormatPr defaultRowHeight="14.25" x14ac:dyDescent="0.2"/>
  <cols>
    <col min="3" max="3" width="44.75" bestFit="1" customWidth="1"/>
    <col min="5" max="5" width="66.75" bestFit="1" customWidth="1"/>
    <col min="6" max="6" width="13" bestFit="1" customWidth="1"/>
    <col min="7" max="7" width="16.5" bestFit="1" customWidth="1"/>
    <col min="9" max="9" width="43.875" bestFit="1" customWidth="1"/>
  </cols>
  <sheetData>
    <row r="1" spans="1:9" x14ac:dyDescent="0.2">
      <c r="C1" t="s">
        <v>494</v>
      </c>
    </row>
    <row r="2" spans="1:9" x14ac:dyDescent="0.2">
      <c r="A2">
        <v>1</v>
      </c>
      <c r="B2">
        <v>158</v>
      </c>
      <c r="C2" t="s">
        <v>170</v>
      </c>
      <c r="D2" s="1">
        <v>-878.57421099999999</v>
      </c>
    </row>
    <row r="3" spans="1:9" x14ac:dyDescent="0.2">
      <c r="A3">
        <v>2</v>
      </c>
      <c r="C3" t="s">
        <v>171</v>
      </c>
      <c r="D3" s="1">
        <v>-897.21297900000002</v>
      </c>
    </row>
    <row r="4" spans="1:9" x14ac:dyDescent="0.2">
      <c r="A4">
        <v>3</v>
      </c>
      <c r="C4" t="s">
        <v>172</v>
      </c>
      <c r="D4" s="1">
        <v>-996.23690099999999</v>
      </c>
      <c r="E4" t="s">
        <v>182</v>
      </c>
      <c r="F4" t="s">
        <v>186</v>
      </c>
      <c r="H4" s="1">
        <v>-998.75081799999998</v>
      </c>
      <c r="I4" t="s">
        <v>178</v>
      </c>
    </row>
    <row r="5" spans="1:9" x14ac:dyDescent="0.2">
      <c r="A5">
        <v>4</v>
      </c>
      <c r="E5" t="s">
        <v>187</v>
      </c>
    </row>
    <row r="6" spans="1:9" x14ac:dyDescent="0.2">
      <c r="A6">
        <v>5</v>
      </c>
      <c r="E6" t="s">
        <v>197</v>
      </c>
      <c r="G6" t="s">
        <v>198</v>
      </c>
    </row>
    <row r="7" spans="1:9" x14ac:dyDescent="0.2">
      <c r="A7">
        <v>6</v>
      </c>
      <c r="C7" t="s">
        <v>254</v>
      </c>
      <c r="D7" s="1">
        <v>-893.14996599999995</v>
      </c>
      <c r="E7" t="s">
        <v>228</v>
      </c>
      <c r="G7" t="s">
        <v>233</v>
      </c>
    </row>
    <row r="8" spans="1:9" x14ac:dyDescent="0.2">
      <c r="A8">
        <v>7</v>
      </c>
      <c r="C8" t="s">
        <v>255</v>
      </c>
      <c r="D8" s="1">
        <v>-878.573937</v>
      </c>
      <c r="E8" t="s">
        <v>234</v>
      </c>
      <c r="F8" s="1">
        <v>-996.01926000000003</v>
      </c>
    </row>
    <row r="9" spans="1:9" x14ac:dyDescent="0.2">
      <c r="F9" s="1">
        <f>F8-D4</f>
        <v>0.21764099999995778</v>
      </c>
    </row>
    <row r="12" spans="1:9" x14ac:dyDescent="0.2">
      <c r="C12" t="s">
        <v>517</v>
      </c>
      <c r="D12" s="1">
        <v>-890.87086299999999</v>
      </c>
      <c r="E12" t="s">
        <v>519</v>
      </c>
    </row>
    <row r="13" spans="1:9" x14ac:dyDescent="0.2">
      <c r="C13" t="s">
        <v>800</v>
      </c>
      <c r="D13">
        <v>-890.87043900000003</v>
      </c>
      <c r="E13" t="s">
        <v>521</v>
      </c>
      <c r="F13" t="s">
        <v>541</v>
      </c>
      <c r="G13" s="1">
        <v>-893.14996599999995</v>
      </c>
      <c r="H13" t="s">
        <v>518</v>
      </c>
    </row>
    <row r="14" spans="1:9" x14ac:dyDescent="0.2">
      <c r="C14" t="s">
        <v>826</v>
      </c>
      <c r="E14" s="117" t="s">
        <v>542</v>
      </c>
      <c r="F14">
        <v>-890.52650400000005</v>
      </c>
      <c r="G14" s="1">
        <v>-892.75552800000003</v>
      </c>
      <c r="H14" t="s">
        <v>789</v>
      </c>
    </row>
    <row r="15" spans="1:9" x14ac:dyDescent="0.2">
      <c r="C15" t="s">
        <v>818</v>
      </c>
      <c r="D15">
        <v>-890.86980300000005</v>
      </c>
      <c r="F15" s="1">
        <f>F14-D12</f>
        <v>0.34435899999994035</v>
      </c>
      <c r="G15">
        <v>-892.75221599999998</v>
      </c>
      <c r="H15" t="s">
        <v>799</v>
      </c>
    </row>
    <row r="16" spans="1:9" x14ac:dyDescent="0.2">
      <c r="F16" s="4"/>
      <c r="G16">
        <v>-893.34205499999996</v>
      </c>
      <c r="H16" t="s">
        <v>809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3EF6-7ED7-4DC0-8745-C1829CA5FCDA}">
  <sheetPr>
    <tabColor theme="4"/>
  </sheetPr>
  <dimension ref="B3:H26"/>
  <sheetViews>
    <sheetView topLeftCell="C11" zoomScale="130" zoomScaleNormal="130" workbookViewId="0">
      <selection activeCell="E24" sqref="E24"/>
    </sheetView>
  </sheetViews>
  <sheetFormatPr defaultRowHeight="14.25" x14ac:dyDescent="0.2"/>
  <cols>
    <col min="3" max="3" width="44.375" bestFit="1" customWidth="1"/>
    <col min="5" max="5" width="61" customWidth="1"/>
    <col min="6" max="6" width="10" customWidth="1"/>
    <col min="8" max="8" width="42.125" bestFit="1" customWidth="1"/>
  </cols>
  <sheetData>
    <row r="3" spans="2:8" x14ac:dyDescent="0.2">
      <c r="B3">
        <v>1</v>
      </c>
      <c r="C3" t="s">
        <v>441</v>
      </c>
      <c r="D3" s="1">
        <v>-873.86190299999998</v>
      </c>
    </row>
    <row r="4" spans="2:8" x14ac:dyDescent="0.2">
      <c r="B4">
        <v>2</v>
      </c>
      <c r="C4" t="s">
        <v>442</v>
      </c>
      <c r="D4" s="1">
        <v>-892.02756199999999</v>
      </c>
    </row>
    <row r="5" spans="2:8" x14ac:dyDescent="0.2">
      <c r="B5">
        <v>3</v>
      </c>
      <c r="C5" t="s">
        <v>443</v>
      </c>
      <c r="D5" s="1">
        <v>-991.17154100000005</v>
      </c>
      <c r="E5" t="s">
        <v>445</v>
      </c>
      <c r="G5" s="1">
        <v>-993.75508000000002</v>
      </c>
      <c r="H5" t="s">
        <v>444</v>
      </c>
    </row>
    <row r="6" spans="2:8" x14ac:dyDescent="0.2">
      <c r="B6">
        <v>4</v>
      </c>
      <c r="E6" t="s">
        <v>446</v>
      </c>
      <c r="F6" s="1">
        <v>-990.98548900000003</v>
      </c>
    </row>
    <row r="7" spans="2:8" x14ac:dyDescent="0.2">
      <c r="B7">
        <v>5</v>
      </c>
      <c r="F7">
        <f>F6-D5</f>
        <v>0.18605200000001787</v>
      </c>
    </row>
    <row r="8" spans="2:8" x14ac:dyDescent="0.2">
      <c r="B8">
        <v>6</v>
      </c>
      <c r="C8" t="s">
        <v>447</v>
      </c>
      <c r="D8" s="1">
        <v>-888.01293999999996</v>
      </c>
    </row>
    <row r="9" spans="2:8" x14ac:dyDescent="0.2">
      <c r="B9">
        <v>7</v>
      </c>
      <c r="C9" t="s">
        <v>448</v>
      </c>
      <c r="D9" s="1">
        <v>-873.861942</v>
      </c>
    </row>
    <row r="15" spans="2:8" x14ac:dyDescent="0.2">
      <c r="C15" t="s">
        <v>515</v>
      </c>
      <c r="D15">
        <v>-888.03083800000002</v>
      </c>
      <c r="E15" t="s">
        <v>535</v>
      </c>
      <c r="G15" s="4">
        <v>-888.01293999999996</v>
      </c>
      <c r="H15" t="s">
        <v>447</v>
      </c>
    </row>
    <row r="16" spans="2:8" x14ac:dyDescent="0.2">
      <c r="C16" t="s">
        <v>516</v>
      </c>
      <c r="D16">
        <v>-888.06049099999996</v>
      </c>
      <c r="E16" t="s">
        <v>740</v>
      </c>
      <c r="G16" s="1">
        <v>-887.82450500000004</v>
      </c>
      <c r="H16" t="s">
        <v>775</v>
      </c>
    </row>
    <row r="17" spans="3:6" x14ac:dyDescent="0.2">
      <c r="C17" t="s">
        <v>774</v>
      </c>
      <c r="D17" s="4">
        <v>-888.01976200000001</v>
      </c>
      <c r="E17" t="s">
        <v>751</v>
      </c>
      <c r="F17">
        <v>-887.05785900000001</v>
      </c>
    </row>
    <row r="18" spans="3:6" x14ac:dyDescent="0.2">
      <c r="C18" t="s">
        <v>794</v>
      </c>
      <c r="D18">
        <v>-888.02142700000002</v>
      </c>
      <c r="F18" s="133">
        <f>F17-D15</f>
        <v>0.97297900000000936</v>
      </c>
    </row>
    <row r="19" spans="3:6" x14ac:dyDescent="0.2">
      <c r="C19" t="s">
        <v>823</v>
      </c>
      <c r="D19" s="1">
        <v>-888.38987699999996</v>
      </c>
      <c r="E19" t="s">
        <v>786</v>
      </c>
      <c r="F19" s="4">
        <v>-887.10580000000004</v>
      </c>
    </row>
    <row r="20" spans="3:6" x14ac:dyDescent="0.2">
      <c r="F20" s="4">
        <f>F19-D17</f>
        <v>0.91396199999996952</v>
      </c>
    </row>
    <row r="21" spans="3:6" ht="30.75" customHeight="1" thickBot="1" x14ac:dyDescent="0.25">
      <c r="E21" t="s">
        <v>796</v>
      </c>
      <c r="F21" s="131" t="s">
        <v>804</v>
      </c>
    </row>
    <row r="22" spans="3:6" ht="15" thickTop="1" x14ac:dyDescent="0.2">
      <c r="C22" s="128" t="s">
        <v>488</v>
      </c>
      <c r="E22" t="s">
        <v>803</v>
      </c>
      <c r="F22" t="s">
        <v>806</v>
      </c>
    </row>
    <row r="23" spans="3:6" x14ac:dyDescent="0.2">
      <c r="C23" s="129" t="s">
        <v>490</v>
      </c>
      <c r="E23" t="s">
        <v>805</v>
      </c>
    </row>
    <row r="24" spans="3:6" ht="15" thickBot="1" x14ac:dyDescent="0.25">
      <c r="C24" s="130" t="s">
        <v>489</v>
      </c>
      <c r="E24" t="s">
        <v>808</v>
      </c>
      <c r="F24" t="s">
        <v>810</v>
      </c>
    </row>
    <row r="25" spans="3:6" ht="15" thickTop="1" x14ac:dyDescent="0.2">
      <c r="F25" s="1">
        <v>-888.01390700000002</v>
      </c>
    </row>
    <row r="26" spans="3:6" x14ac:dyDescent="0.2">
      <c r="F26" s="1">
        <f>F25-D19</f>
        <v>0.37596999999993841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2965-4C0B-4922-AC71-78C6310BB4D4}">
  <sheetPr>
    <tabColor theme="4"/>
  </sheetPr>
  <dimension ref="A1:I32"/>
  <sheetViews>
    <sheetView topLeftCell="C1" zoomScaleNormal="100" workbookViewId="0">
      <selection activeCell="C39" sqref="C39"/>
    </sheetView>
  </sheetViews>
  <sheetFormatPr defaultRowHeight="14.25" x14ac:dyDescent="0.2"/>
  <cols>
    <col min="2" max="2" width="5" customWidth="1"/>
    <col min="3" max="3" width="51.125" bestFit="1" customWidth="1"/>
    <col min="5" max="5" width="67.375" bestFit="1" customWidth="1"/>
    <col min="9" max="9" width="44.5" bestFit="1" customWidth="1"/>
  </cols>
  <sheetData>
    <row r="1" spans="1:9" x14ac:dyDescent="0.2">
      <c r="A1">
        <v>1</v>
      </c>
      <c r="B1">
        <v>158</v>
      </c>
      <c r="C1" t="s">
        <v>86</v>
      </c>
      <c r="D1" s="1">
        <v>-876.10024399999998</v>
      </c>
    </row>
    <row r="2" spans="1:9" x14ac:dyDescent="0.2">
      <c r="A2">
        <v>2</v>
      </c>
      <c r="C2" t="s">
        <v>91</v>
      </c>
      <c r="D2" s="1">
        <v>-894.78714300000001</v>
      </c>
    </row>
    <row r="3" spans="1:9" x14ac:dyDescent="0.2">
      <c r="A3">
        <v>3</v>
      </c>
      <c r="C3" t="s">
        <v>96</v>
      </c>
      <c r="D3" s="4">
        <v>-993.81245799999999</v>
      </c>
      <c r="E3" t="s">
        <v>104</v>
      </c>
      <c r="H3">
        <v>-996.32793600000002</v>
      </c>
      <c r="I3" t="s">
        <v>100</v>
      </c>
    </row>
    <row r="4" spans="1:9" x14ac:dyDescent="0.2">
      <c r="C4" t="s">
        <v>151</v>
      </c>
      <c r="D4" s="4">
        <v>-996.07431599999995</v>
      </c>
    </row>
    <row r="5" spans="1:9" x14ac:dyDescent="0.2">
      <c r="C5" t="s">
        <v>153</v>
      </c>
      <c r="D5" s="4">
        <v>-993.84788900000001</v>
      </c>
    </row>
    <row r="6" spans="1:9" x14ac:dyDescent="0.2">
      <c r="C6" t="s">
        <v>160</v>
      </c>
      <c r="D6" s="4" t="s">
        <v>168</v>
      </c>
    </row>
    <row r="7" spans="1:9" x14ac:dyDescent="0.2">
      <c r="C7" t="s">
        <v>167</v>
      </c>
      <c r="D7" s="4">
        <v>-992.58277599999997</v>
      </c>
    </row>
    <row r="8" spans="1:9" x14ac:dyDescent="0.2">
      <c r="C8" t="s">
        <v>169</v>
      </c>
      <c r="D8" s="4">
        <v>-993.84975199999997</v>
      </c>
    </row>
    <row r="9" spans="1:9" x14ac:dyDescent="0.2">
      <c r="C9" s="4" t="s">
        <v>853</v>
      </c>
      <c r="D9">
        <v>-996.07957599999997</v>
      </c>
    </row>
    <row r="10" spans="1:9" x14ac:dyDescent="0.2">
      <c r="C10" s="4" t="s">
        <v>861</v>
      </c>
      <c r="D10">
        <v>-993.85293300000001</v>
      </c>
    </row>
    <row r="11" spans="1:9" x14ac:dyDescent="0.2">
      <c r="C11" s="4" t="s">
        <v>876</v>
      </c>
      <c r="D11">
        <v>-993.851449</v>
      </c>
    </row>
    <row r="12" spans="1:9" x14ac:dyDescent="0.2">
      <c r="C12" s="4" t="s">
        <v>889</v>
      </c>
      <c r="D12">
        <v>-996.10247100000004</v>
      </c>
    </row>
    <row r="13" spans="1:9" x14ac:dyDescent="0.2">
      <c r="C13" s="4" t="s">
        <v>890</v>
      </c>
      <c r="D13" s="1">
        <v>-993.85987299999999</v>
      </c>
    </row>
    <row r="14" spans="1:9" x14ac:dyDescent="0.2">
      <c r="C14" s="4"/>
    </row>
    <row r="15" spans="1:9" x14ac:dyDescent="0.2">
      <c r="C15" s="4"/>
    </row>
    <row r="16" spans="1:9" x14ac:dyDescent="0.2">
      <c r="A16">
        <v>4</v>
      </c>
      <c r="D16" s="1">
        <v>-994.95226000000002</v>
      </c>
      <c r="E16" t="s">
        <v>116</v>
      </c>
      <c r="G16" t="s">
        <v>118</v>
      </c>
    </row>
    <row r="17" spans="1:8" x14ac:dyDescent="0.2">
      <c r="A17">
        <v>5</v>
      </c>
      <c r="D17">
        <v>-996.32793600000002</v>
      </c>
      <c r="E17" t="s">
        <v>129</v>
      </c>
      <c r="F17" t="s">
        <v>130</v>
      </c>
    </row>
    <row r="18" spans="1:8" x14ac:dyDescent="0.2">
      <c r="A18">
        <v>6</v>
      </c>
      <c r="C18" t="s">
        <v>145</v>
      </c>
      <c r="D18" s="1">
        <v>-890.70829700000002</v>
      </c>
      <c r="E18" t="s">
        <v>135</v>
      </c>
      <c r="G18" t="s">
        <v>137</v>
      </c>
    </row>
    <row r="19" spans="1:8" x14ac:dyDescent="0.2">
      <c r="A19">
        <v>7</v>
      </c>
      <c r="C19" t="s">
        <v>150</v>
      </c>
      <c r="D19" s="1">
        <v>-876.10025700000006</v>
      </c>
      <c r="E19" t="s">
        <v>139</v>
      </c>
      <c r="G19" t="s">
        <v>140</v>
      </c>
    </row>
    <row r="20" spans="1:8" x14ac:dyDescent="0.2">
      <c r="E20" t="s">
        <v>141</v>
      </c>
      <c r="F20" s="4">
        <v>-994.95226000000002</v>
      </c>
    </row>
    <row r="21" spans="1:8" x14ac:dyDescent="0.2">
      <c r="F21" s="143">
        <f>F20-D4</f>
        <v>1.1220559999999296</v>
      </c>
    </row>
    <row r="22" spans="1:8" x14ac:dyDescent="0.2">
      <c r="E22" t="s">
        <v>210</v>
      </c>
      <c r="F22" t="s">
        <v>214</v>
      </c>
      <c r="G22" t="s">
        <v>212</v>
      </c>
    </row>
    <row r="23" spans="1:8" x14ac:dyDescent="0.2">
      <c r="E23" t="s">
        <v>880</v>
      </c>
    </row>
    <row r="24" spans="1:8" x14ac:dyDescent="0.2">
      <c r="E24" t="s">
        <v>881</v>
      </c>
    </row>
    <row r="25" spans="1:8" x14ac:dyDescent="0.2">
      <c r="A25">
        <v>-876.10024399999998</v>
      </c>
      <c r="E25" t="s">
        <v>882</v>
      </c>
      <c r="F25" t="s">
        <v>885</v>
      </c>
    </row>
    <row r="26" spans="1:8" x14ac:dyDescent="0.2">
      <c r="A26" s="1">
        <v>-894.78714300000001</v>
      </c>
      <c r="E26" t="s">
        <v>886</v>
      </c>
      <c r="F26" s="1">
        <v>-994.95050400000002</v>
      </c>
    </row>
    <row r="27" spans="1:8" x14ac:dyDescent="0.2">
      <c r="A27" s="1">
        <v>-993.84788900000001</v>
      </c>
      <c r="F27">
        <f>F26-D13</f>
        <v>-1.0906310000000303</v>
      </c>
    </row>
    <row r="28" spans="1:8" x14ac:dyDescent="0.2">
      <c r="A28" s="1">
        <v>-994.95226000000002</v>
      </c>
    </row>
    <row r="29" spans="1:8" x14ac:dyDescent="0.2">
      <c r="A29">
        <v>-996.32793600000002</v>
      </c>
    </row>
    <row r="30" spans="1:8" x14ac:dyDescent="0.2">
      <c r="A30" s="1">
        <v>-890.70829700000002</v>
      </c>
      <c r="C30" t="s">
        <v>512</v>
      </c>
      <c r="D30" s="1">
        <v>-888.90224699999999</v>
      </c>
      <c r="E30" t="s">
        <v>520</v>
      </c>
      <c r="G30" s="1">
        <v>-890.70829700000002</v>
      </c>
      <c r="H30" t="s">
        <v>145</v>
      </c>
    </row>
    <row r="31" spans="1:8" x14ac:dyDescent="0.2">
      <c r="A31" s="1">
        <v>-876.10025700000006</v>
      </c>
      <c r="E31" t="s">
        <v>546</v>
      </c>
      <c r="F31" s="1">
        <v>-888.79849999999999</v>
      </c>
    </row>
    <row r="32" spans="1:8" x14ac:dyDescent="0.2">
      <c r="F32">
        <f>F31-D30</f>
        <v>0.10374699999999848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62B7-0D13-42D2-A212-C6C3ECBB8116}">
  <sheetPr>
    <tabColor theme="4"/>
  </sheetPr>
  <dimension ref="A2:I25"/>
  <sheetViews>
    <sheetView topLeftCell="B1" zoomScale="115" zoomScaleNormal="115" workbookViewId="0">
      <selection activeCell="E26" sqref="E26"/>
    </sheetView>
  </sheetViews>
  <sheetFormatPr defaultRowHeight="14.25" x14ac:dyDescent="0.2"/>
  <cols>
    <col min="3" max="3" width="46.125" bestFit="1" customWidth="1"/>
    <col min="5" max="5" width="65.625" bestFit="1" customWidth="1"/>
    <col min="9" max="9" width="43.875" bestFit="1" customWidth="1"/>
  </cols>
  <sheetData>
    <row r="2" spans="1:9" x14ac:dyDescent="0.2">
      <c r="A2">
        <v>1</v>
      </c>
      <c r="C2" t="s">
        <v>57</v>
      </c>
      <c r="D2">
        <v>-876.80766300000005</v>
      </c>
    </row>
    <row r="3" spans="1:9" x14ac:dyDescent="0.2">
      <c r="A3">
        <v>2</v>
      </c>
      <c r="C3" t="s">
        <v>68</v>
      </c>
      <c r="D3" s="1">
        <v>-895.42247799999996</v>
      </c>
    </row>
    <row r="4" spans="1:9" x14ac:dyDescent="0.2">
      <c r="A4">
        <v>3</v>
      </c>
      <c r="C4" t="s">
        <v>89</v>
      </c>
      <c r="D4" s="1">
        <v>-994.443759</v>
      </c>
      <c r="E4" t="s">
        <v>103</v>
      </c>
      <c r="H4" s="1">
        <v>-996.93020799999999</v>
      </c>
      <c r="I4" t="s">
        <v>101</v>
      </c>
    </row>
    <row r="5" spans="1:9" x14ac:dyDescent="0.2">
      <c r="C5" t="s">
        <v>213</v>
      </c>
      <c r="D5" s="1">
        <v>-994.46338500000002</v>
      </c>
      <c r="H5" s="1"/>
    </row>
    <row r="6" spans="1:9" x14ac:dyDescent="0.2">
      <c r="A6">
        <v>4</v>
      </c>
      <c r="D6" s="1">
        <v>-994.19263100000001</v>
      </c>
      <c r="E6" t="s">
        <v>106</v>
      </c>
      <c r="G6" t="s">
        <v>110</v>
      </c>
    </row>
    <row r="7" spans="1:9" x14ac:dyDescent="0.2">
      <c r="A7">
        <v>5</v>
      </c>
      <c r="D7" s="1">
        <v>-996.93020799999999</v>
      </c>
      <c r="E7" t="s">
        <v>109</v>
      </c>
      <c r="F7" s="1">
        <v>-994.19263100000001</v>
      </c>
    </row>
    <row r="8" spans="1:9" x14ac:dyDescent="0.2">
      <c r="A8">
        <v>6</v>
      </c>
      <c r="C8" t="s">
        <v>114</v>
      </c>
      <c r="D8" s="1">
        <v>-891.33496200000002</v>
      </c>
      <c r="F8">
        <f>F7-D5</f>
        <v>0.27075400000001082</v>
      </c>
    </row>
    <row r="9" spans="1:9" x14ac:dyDescent="0.2">
      <c r="A9">
        <v>7</v>
      </c>
      <c r="C9" t="s">
        <v>117</v>
      </c>
      <c r="D9" s="1">
        <v>-876.80730000000005</v>
      </c>
    </row>
    <row r="12" spans="1:9" x14ac:dyDescent="0.2">
      <c r="C12" t="s">
        <v>218</v>
      </c>
    </row>
    <row r="13" spans="1:9" x14ac:dyDescent="0.2">
      <c r="C13" t="s">
        <v>761</v>
      </c>
    </row>
    <row r="14" spans="1:9" x14ac:dyDescent="0.2">
      <c r="C14" t="s">
        <v>220</v>
      </c>
    </row>
    <row r="15" spans="1:9" x14ac:dyDescent="0.2">
      <c r="C15" t="s">
        <v>221</v>
      </c>
    </row>
    <row r="21" spans="3:8" x14ac:dyDescent="0.2">
      <c r="C21" t="s">
        <v>505</v>
      </c>
      <c r="D21">
        <v>-889.17158099999995</v>
      </c>
      <c r="E21" t="s">
        <v>514</v>
      </c>
      <c r="G21" s="1">
        <v>-891.33496200000002</v>
      </c>
      <c r="H21" t="s">
        <v>114</v>
      </c>
    </row>
    <row r="22" spans="3:8" x14ac:dyDescent="0.2">
      <c r="C22" t="s">
        <v>793</v>
      </c>
      <c r="D22">
        <v>-889.17121899999995</v>
      </c>
      <c r="E22" t="s">
        <v>817</v>
      </c>
      <c r="F22">
        <v>-888.78733899999997</v>
      </c>
      <c r="G22">
        <v>-891.33392300000003</v>
      </c>
      <c r="H22" t="s">
        <v>797</v>
      </c>
    </row>
    <row r="23" spans="3:8" x14ac:dyDescent="0.2">
      <c r="C23" t="s">
        <v>812</v>
      </c>
      <c r="D23" s="1">
        <v>-894.16288099999997</v>
      </c>
      <c r="F23" s="111">
        <f>F22-D22</f>
        <v>0.38387999999997646</v>
      </c>
      <c r="G23">
        <v>-891.33482100000003</v>
      </c>
      <c r="H23" t="s">
        <v>801</v>
      </c>
    </row>
    <row r="24" spans="3:8" x14ac:dyDescent="0.2">
      <c r="E24" t="s">
        <v>814</v>
      </c>
      <c r="F24">
        <v>-894.08870000000002</v>
      </c>
      <c r="G24">
        <v>-894.58562099999995</v>
      </c>
      <c r="H24" t="s">
        <v>813</v>
      </c>
    </row>
    <row r="25" spans="3:8" x14ac:dyDescent="0.2">
      <c r="F25" s="1">
        <f>F24-D23</f>
        <v>7.4180999999953201E-2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0601-1AF2-440B-9731-0FCA12874BB9}">
  <sheetPr>
    <tabColor theme="4"/>
  </sheetPr>
  <dimension ref="A1:I26"/>
  <sheetViews>
    <sheetView topLeftCell="C1" workbookViewId="0">
      <selection activeCell="E40" sqref="E40"/>
    </sheetView>
  </sheetViews>
  <sheetFormatPr defaultRowHeight="14.25" x14ac:dyDescent="0.2"/>
  <cols>
    <col min="3" max="3" width="65.625" customWidth="1"/>
    <col min="4" max="4" width="18.375" bestFit="1" customWidth="1"/>
    <col min="5" max="5" width="69.625" bestFit="1" customWidth="1"/>
  </cols>
  <sheetData>
    <row r="1" spans="1:9" x14ac:dyDescent="0.2">
      <c r="C1" t="s">
        <v>216</v>
      </c>
    </row>
    <row r="2" spans="1:9" x14ac:dyDescent="0.2">
      <c r="C2" t="s">
        <v>215</v>
      </c>
    </row>
    <row r="3" spans="1:9" x14ac:dyDescent="0.2">
      <c r="C3" t="s">
        <v>219</v>
      </c>
    </row>
    <row r="4" spans="1:9" x14ac:dyDescent="0.2">
      <c r="C4" t="s">
        <v>587</v>
      </c>
    </row>
    <row r="5" spans="1:9" x14ac:dyDescent="0.2">
      <c r="A5">
        <v>1</v>
      </c>
      <c r="C5" t="s">
        <v>13</v>
      </c>
      <c r="D5" s="1">
        <v>-869.46842100000003</v>
      </c>
    </row>
    <row r="6" spans="1:9" x14ac:dyDescent="0.2">
      <c r="A6">
        <v>2</v>
      </c>
      <c r="C6" t="s">
        <v>23</v>
      </c>
      <c r="D6" s="4">
        <v>-888.63093600000002</v>
      </c>
      <c r="E6" t="s">
        <v>24</v>
      </c>
      <c r="F6" s="1">
        <v>-889.02826900000002</v>
      </c>
    </row>
    <row r="7" spans="1:9" x14ac:dyDescent="0.2">
      <c r="A7">
        <v>3</v>
      </c>
      <c r="C7" t="s">
        <v>54</v>
      </c>
      <c r="D7" s="1">
        <v>-989.49360999999999</v>
      </c>
    </row>
    <row r="8" spans="1:9" x14ac:dyDescent="0.2">
      <c r="A8">
        <v>4</v>
      </c>
      <c r="C8" t="s">
        <v>60</v>
      </c>
      <c r="D8" s="1">
        <v>-989.18619899999999</v>
      </c>
      <c r="E8">
        <f>D8-D7</f>
        <v>0.30741100000000188</v>
      </c>
    </row>
    <row r="9" spans="1:9" x14ac:dyDescent="0.2">
      <c r="A9">
        <v>5</v>
      </c>
      <c r="C9" t="s">
        <v>53</v>
      </c>
      <c r="D9" s="1">
        <v>-991.70269199999996</v>
      </c>
    </row>
    <row r="10" spans="1:9" x14ac:dyDescent="0.2">
      <c r="A10">
        <v>6</v>
      </c>
      <c r="C10" t="s">
        <v>55</v>
      </c>
      <c r="D10" s="1">
        <v>-885.97596899999996</v>
      </c>
    </row>
    <row r="11" spans="1:9" x14ac:dyDescent="0.2">
      <c r="A11">
        <v>7</v>
      </c>
      <c r="C11" t="s">
        <v>56</v>
      </c>
      <c r="D11" s="1">
        <v>-871.12836100000004</v>
      </c>
    </row>
    <row r="16" spans="1:9" x14ac:dyDescent="0.2">
      <c r="C16" t="s">
        <v>500</v>
      </c>
      <c r="D16">
        <v>-885.31656499999997</v>
      </c>
      <c r="E16" t="s">
        <v>501</v>
      </c>
      <c r="H16" s="4">
        <v>-885.97596899999996</v>
      </c>
      <c r="I16" t="s">
        <v>53</v>
      </c>
    </row>
    <row r="17" spans="3:9" x14ac:dyDescent="0.2">
      <c r="C17" t="s">
        <v>784</v>
      </c>
      <c r="D17">
        <v>-885.31723599999998</v>
      </c>
      <c r="E17" t="s">
        <v>536</v>
      </c>
      <c r="F17" t="s">
        <v>704</v>
      </c>
      <c r="H17" s="1">
        <v>-885.684121</v>
      </c>
      <c r="I17" t="s">
        <v>802</v>
      </c>
    </row>
    <row r="18" spans="3:9" ht="15" thickBot="1" x14ac:dyDescent="0.25">
      <c r="C18" t="s">
        <v>792</v>
      </c>
      <c r="D18" s="1">
        <v>-885.31630399999995</v>
      </c>
      <c r="F18">
        <v>-884.72668199999998</v>
      </c>
    </row>
    <row r="19" spans="3:9" ht="15" thickTop="1" x14ac:dyDescent="0.2">
      <c r="C19" s="124" t="s">
        <v>395</v>
      </c>
      <c r="D19" s="125" t="s">
        <v>432</v>
      </c>
      <c r="F19" s="111">
        <f>F18-D16</f>
        <v>0.58988299999998617</v>
      </c>
    </row>
    <row r="20" spans="3:9" ht="15" thickBot="1" x14ac:dyDescent="0.25">
      <c r="C20" s="126" t="s">
        <v>434</v>
      </c>
      <c r="D20" s="127">
        <v>-4.9200699999999999</v>
      </c>
      <c r="E20" t="s">
        <v>752</v>
      </c>
    </row>
    <row r="21" spans="3:9" ht="15" thickTop="1" x14ac:dyDescent="0.2">
      <c r="E21" t="s">
        <v>770</v>
      </c>
      <c r="F21" s="4">
        <v>-884.72708799999998</v>
      </c>
    </row>
    <row r="22" spans="3:9" x14ac:dyDescent="0.2">
      <c r="F22">
        <f>F21-D18</f>
        <v>0.58921599999996488</v>
      </c>
    </row>
    <row r="23" spans="3:9" x14ac:dyDescent="0.2">
      <c r="E23" t="s">
        <v>807</v>
      </c>
      <c r="F23">
        <v>-884.7106</v>
      </c>
    </row>
    <row r="24" spans="3:9" x14ac:dyDescent="0.2">
      <c r="F24">
        <f>F23-D18</f>
        <v>0.60570399999994606</v>
      </c>
    </row>
    <row r="25" spans="3:9" x14ac:dyDescent="0.2">
      <c r="E25" t="s">
        <v>816</v>
      </c>
      <c r="F25" s="1">
        <v>-885.14459999999997</v>
      </c>
    </row>
    <row r="26" spans="3:9" x14ac:dyDescent="0.2">
      <c r="F26" s="1">
        <f>F25-D18</f>
        <v>0.17170399999997699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23CD-8D4B-42EE-A0F5-CAD9A1809322}">
  <sheetPr>
    <tabColor theme="4"/>
  </sheetPr>
  <dimension ref="A1:I34"/>
  <sheetViews>
    <sheetView topLeftCell="A10" zoomScaleNormal="100" workbookViewId="0">
      <selection activeCell="E33" sqref="E33"/>
    </sheetView>
  </sheetViews>
  <sheetFormatPr defaultRowHeight="14.25" x14ac:dyDescent="0.2"/>
  <cols>
    <col min="3" max="3" width="49.75" bestFit="1" customWidth="1"/>
    <col min="4" max="4" width="18.375" bestFit="1" customWidth="1"/>
    <col min="5" max="5" width="71.125" bestFit="1" customWidth="1"/>
    <col min="7" max="7" width="16.5" bestFit="1" customWidth="1"/>
    <col min="9" max="9" width="47.375" bestFit="1" customWidth="1"/>
  </cols>
  <sheetData>
    <row r="1" spans="1:9" x14ac:dyDescent="0.2">
      <c r="A1">
        <v>1</v>
      </c>
      <c r="C1" t="s">
        <v>107</v>
      </c>
      <c r="D1" s="1">
        <v>-876.36240299999997</v>
      </c>
    </row>
    <row r="2" spans="1:9" x14ac:dyDescent="0.2">
      <c r="A2">
        <v>2</v>
      </c>
      <c r="C2" t="s">
        <v>111</v>
      </c>
      <c r="D2" s="1">
        <v>-894.82668699999999</v>
      </c>
    </row>
    <row r="3" spans="1:9" x14ac:dyDescent="0.2">
      <c r="A3">
        <v>3</v>
      </c>
      <c r="C3" t="s">
        <v>112</v>
      </c>
      <c r="D3" s="1">
        <v>-993.87959599999999</v>
      </c>
      <c r="E3" t="s">
        <v>119</v>
      </c>
      <c r="H3" s="1">
        <v>-996.61986000000002</v>
      </c>
      <c r="I3" t="s">
        <v>113</v>
      </c>
    </row>
    <row r="4" spans="1:9" x14ac:dyDescent="0.2">
      <c r="C4" t="s">
        <v>226</v>
      </c>
      <c r="D4" s="4">
        <v>-993.90297799999996</v>
      </c>
      <c r="H4">
        <v>-996.62832300000002</v>
      </c>
      <c r="I4" t="s">
        <v>239</v>
      </c>
    </row>
    <row r="5" spans="1:9" x14ac:dyDescent="0.2">
      <c r="C5" t="s">
        <v>236</v>
      </c>
      <c r="D5" s="4">
        <v>-993.89922300000001</v>
      </c>
      <c r="H5">
        <v>-996.61345400000005</v>
      </c>
      <c r="I5" t="s">
        <v>243</v>
      </c>
    </row>
    <row r="6" spans="1:9" x14ac:dyDescent="0.2">
      <c r="C6" t="s">
        <v>242</v>
      </c>
      <c r="D6">
        <v>-993.883059</v>
      </c>
      <c r="E6" t="s">
        <v>123</v>
      </c>
      <c r="F6" t="s">
        <v>124</v>
      </c>
    </row>
    <row r="7" spans="1:9" x14ac:dyDescent="0.2">
      <c r="A7">
        <v>4</v>
      </c>
    </row>
    <row r="8" spans="1:9" x14ac:dyDescent="0.2">
      <c r="A8">
        <v>5</v>
      </c>
      <c r="E8" t="s">
        <v>126</v>
      </c>
      <c r="F8" t="s">
        <v>147</v>
      </c>
      <c r="G8" t="s">
        <v>134</v>
      </c>
    </row>
    <row r="9" spans="1:9" x14ac:dyDescent="0.2">
      <c r="A9">
        <v>6</v>
      </c>
      <c r="C9" t="s">
        <v>252</v>
      </c>
      <c r="D9" s="1">
        <v>-890.92097699999999</v>
      </c>
      <c r="E9" t="s">
        <v>146</v>
      </c>
      <c r="G9" t="s">
        <v>148</v>
      </c>
    </row>
    <row r="10" spans="1:9" x14ac:dyDescent="0.2">
      <c r="A10">
        <v>7</v>
      </c>
      <c r="C10" t="s">
        <v>257</v>
      </c>
      <c r="D10" s="1">
        <v>-876.36238600000001</v>
      </c>
      <c r="E10" t="s">
        <v>149</v>
      </c>
    </row>
    <row r="11" spans="1:9" x14ac:dyDescent="0.2">
      <c r="E11" t="s">
        <v>155</v>
      </c>
      <c r="G11" t="s">
        <v>157</v>
      </c>
    </row>
    <row r="12" spans="1:9" x14ac:dyDescent="0.2">
      <c r="E12" t="s">
        <v>158</v>
      </c>
    </row>
    <row r="13" spans="1:9" x14ac:dyDescent="0.2">
      <c r="E13" t="s">
        <v>196</v>
      </c>
    </row>
    <row r="14" spans="1:9" x14ac:dyDescent="0.2">
      <c r="E14" t="s">
        <v>199</v>
      </c>
      <c r="F14" t="s">
        <v>203</v>
      </c>
    </row>
    <row r="15" spans="1:9" x14ac:dyDescent="0.2">
      <c r="E15" t="s">
        <v>201</v>
      </c>
      <c r="F15" t="s">
        <v>206</v>
      </c>
      <c r="G15" t="s">
        <v>204</v>
      </c>
    </row>
    <row r="16" spans="1:9" x14ac:dyDescent="0.2">
      <c r="E16" t="s">
        <v>202</v>
      </c>
      <c r="F16" t="s">
        <v>207</v>
      </c>
      <c r="G16" t="s">
        <v>205</v>
      </c>
    </row>
    <row r="17" spans="3:8" x14ac:dyDescent="0.2">
      <c r="E17" t="s">
        <v>208</v>
      </c>
    </row>
    <row r="18" spans="3:8" x14ac:dyDescent="0.2">
      <c r="E18" t="s">
        <v>209</v>
      </c>
      <c r="G18" t="s">
        <v>211</v>
      </c>
    </row>
    <row r="19" spans="3:8" x14ac:dyDescent="0.2">
      <c r="E19" t="s">
        <v>225</v>
      </c>
      <c r="F19" s="1">
        <v>-994.30499899999995</v>
      </c>
      <c r="G19" t="s">
        <v>249</v>
      </c>
    </row>
    <row r="20" spans="3:8" x14ac:dyDescent="0.2">
      <c r="E20" t="s">
        <v>244</v>
      </c>
      <c r="F20">
        <f>F19-D3</f>
        <v>-0.42540299999996023</v>
      </c>
    </row>
    <row r="21" spans="3:8" x14ac:dyDescent="0.2">
      <c r="E21" t="s">
        <v>256</v>
      </c>
    </row>
    <row r="24" spans="3:8" x14ac:dyDescent="0.2">
      <c r="C24" t="s">
        <v>396</v>
      </c>
      <c r="D24" t="s">
        <v>433</v>
      </c>
    </row>
    <row r="25" spans="3:8" x14ac:dyDescent="0.2">
      <c r="C25" t="s">
        <v>397</v>
      </c>
      <c r="D25">
        <v>-4.2356800000000003</v>
      </c>
    </row>
    <row r="31" spans="3:8" x14ac:dyDescent="0.2">
      <c r="C31" t="s">
        <v>511</v>
      </c>
      <c r="D31">
        <v>-890.92087300000003</v>
      </c>
      <c r="E31" t="s">
        <v>544</v>
      </c>
      <c r="G31" s="1">
        <v>-890.92097699999999</v>
      </c>
      <c r="H31" t="s">
        <v>543</v>
      </c>
    </row>
    <row r="32" spans="3:8" x14ac:dyDescent="0.2">
      <c r="C32" t="s">
        <v>545</v>
      </c>
      <c r="D32" s="1">
        <v>-889.53933099999995</v>
      </c>
      <c r="E32" t="s">
        <v>749</v>
      </c>
    </row>
    <row r="33" spans="5:6" x14ac:dyDescent="0.2">
      <c r="E33" t="s">
        <v>767</v>
      </c>
      <c r="F33">
        <v>-889.30719999999997</v>
      </c>
    </row>
    <row r="34" spans="5:6" x14ac:dyDescent="0.2">
      <c r="F34" s="1">
        <f>F33-D32</f>
        <v>0.23213099999998121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EF03-913D-449E-8517-93FE491142EA}">
  <sheetPr>
    <tabColor theme="4"/>
  </sheetPr>
  <dimension ref="B2:J22"/>
  <sheetViews>
    <sheetView topLeftCell="D1" zoomScaleNormal="100" workbookViewId="0">
      <selection activeCell="F20" sqref="F20"/>
    </sheetView>
  </sheetViews>
  <sheetFormatPr defaultRowHeight="14.25" x14ac:dyDescent="0.2"/>
  <cols>
    <col min="4" max="4" width="65.5" bestFit="1" customWidth="1"/>
    <col min="6" max="6" width="71.875" bestFit="1" customWidth="1"/>
    <col min="7" max="7" width="11.875" bestFit="1" customWidth="1"/>
    <col min="8" max="8" width="16.5" bestFit="1" customWidth="1"/>
    <col min="10" max="10" width="49" bestFit="1" customWidth="1"/>
  </cols>
  <sheetData>
    <row r="2" spans="2:10" x14ac:dyDescent="0.2">
      <c r="B2">
        <v>1</v>
      </c>
      <c r="C2" t="s">
        <v>65</v>
      </c>
      <c r="D2" t="s">
        <v>66</v>
      </c>
      <c r="E2">
        <v>-874.05439000000001</v>
      </c>
    </row>
    <row r="3" spans="2:10" x14ac:dyDescent="0.2">
      <c r="B3">
        <v>2</v>
      </c>
      <c r="D3" t="s">
        <v>69</v>
      </c>
      <c r="E3" s="1">
        <v>-892.66987500000005</v>
      </c>
      <c r="F3" t="s">
        <v>77</v>
      </c>
    </row>
    <row r="4" spans="2:10" x14ac:dyDescent="0.2">
      <c r="B4">
        <v>3</v>
      </c>
      <c r="D4" t="s">
        <v>72</v>
      </c>
      <c r="E4" s="4">
        <v>-991.67773299999999</v>
      </c>
      <c r="F4" t="s">
        <v>76</v>
      </c>
      <c r="I4">
        <v>-994.08416099999999</v>
      </c>
      <c r="J4" t="s">
        <v>74</v>
      </c>
    </row>
    <row r="5" spans="2:10" x14ac:dyDescent="0.2">
      <c r="D5" t="s">
        <v>154</v>
      </c>
      <c r="E5" s="1">
        <v>-991.719381</v>
      </c>
    </row>
    <row r="6" spans="2:10" x14ac:dyDescent="0.2">
      <c r="B6">
        <v>4</v>
      </c>
      <c r="E6" s="15">
        <v>-991.54319499999997</v>
      </c>
      <c r="F6" t="s">
        <v>83</v>
      </c>
      <c r="H6" t="s">
        <v>84</v>
      </c>
    </row>
    <row r="7" spans="2:10" x14ac:dyDescent="0.2">
      <c r="B7">
        <v>5</v>
      </c>
      <c r="E7" s="1">
        <v>-994.08416099999999</v>
      </c>
      <c r="F7" t="s">
        <v>85</v>
      </c>
      <c r="G7" t="s">
        <v>95</v>
      </c>
    </row>
    <row r="8" spans="2:10" x14ac:dyDescent="0.2">
      <c r="B8">
        <v>6</v>
      </c>
      <c r="D8" t="s">
        <v>152</v>
      </c>
      <c r="E8" s="1">
        <v>-888.51606200000003</v>
      </c>
      <c r="F8" t="s">
        <v>94</v>
      </c>
      <c r="G8" t="s">
        <v>97</v>
      </c>
    </row>
    <row r="9" spans="2:10" x14ac:dyDescent="0.2">
      <c r="B9">
        <v>7</v>
      </c>
      <c r="D9" t="s">
        <v>159</v>
      </c>
      <c r="E9" s="1">
        <v>-873.99494600000003</v>
      </c>
      <c r="F9" t="s">
        <v>98</v>
      </c>
      <c r="G9" t="s">
        <v>95</v>
      </c>
      <c r="H9" t="s">
        <v>131</v>
      </c>
    </row>
    <row r="10" spans="2:10" x14ac:dyDescent="0.2">
      <c r="F10" t="s">
        <v>127</v>
      </c>
      <c r="H10" t="s">
        <v>132</v>
      </c>
    </row>
    <row r="11" spans="2:10" x14ac:dyDescent="0.2">
      <c r="F11" t="s">
        <v>133</v>
      </c>
    </row>
    <row r="12" spans="2:10" x14ac:dyDescent="0.2">
      <c r="F12" t="s">
        <v>142</v>
      </c>
      <c r="H12" t="s">
        <v>144</v>
      </c>
    </row>
    <row r="13" spans="2:10" x14ac:dyDescent="0.2">
      <c r="F13" t="s">
        <v>143</v>
      </c>
      <c r="G13" s="15">
        <v>-991.54319499999997</v>
      </c>
    </row>
    <row r="14" spans="2:10" x14ac:dyDescent="0.2">
      <c r="G14">
        <f>G13-E5</f>
        <v>0.17618600000002971</v>
      </c>
    </row>
    <row r="16" spans="2:10" x14ac:dyDescent="0.2">
      <c r="B16">
        <v>-874.05439000000001</v>
      </c>
    </row>
    <row r="17" spans="2:9" x14ac:dyDescent="0.2">
      <c r="B17" s="1">
        <v>-892.66987500000005</v>
      </c>
    </row>
    <row r="18" spans="2:9" x14ac:dyDescent="0.2">
      <c r="B18" s="1">
        <v>-991.719381</v>
      </c>
      <c r="D18" t="s">
        <v>513</v>
      </c>
      <c r="E18" s="1">
        <v>-887.08373800000004</v>
      </c>
      <c r="F18" t="s">
        <v>547</v>
      </c>
      <c r="H18" s="1">
        <v>-888.51606200000003</v>
      </c>
      <c r="I18" t="s">
        <v>152</v>
      </c>
    </row>
    <row r="19" spans="2:9" x14ac:dyDescent="0.2">
      <c r="B19" s="15">
        <v>-991.54319499999997</v>
      </c>
      <c r="D19" t="s">
        <v>92</v>
      </c>
      <c r="F19" t="s">
        <v>750</v>
      </c>
    </row>
    <row r="20" spans="2:9" x14ac:dyDescent="0.2">
      <c r="B20">
        <v>-994.08416099999999</v>
      </c>
      <c r="F20" t="s">
        <v>753</v>
      </c>
      <c r="G20">
        <v>-886.95310300000006</v>
      </c>
    </row>
    <row r="21" spans="2:9" x14ac:dyDescent="0.2">
      <c r="B21" s="1">
        <v>-888.51606200000003</v>
      </c>
      <c r="G21" s="1">
        <f>G20-E18</f>
        <v>0.13063499999998385</v>
      </c>
    </row>
    <row r="22" spans="2:9" x14ac:dyDescent="0.2">
      <c r="B22" s="1">
        <v>-873.99494600000003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2765-DC20-4131-92AF-A97419729C34}">
  <sheetPr>
    <tabColor theme="4"/>
  </sheetPr>
  <dimension ref="A2:I26"/>
  <sheetViews>
    <sheetView topLeftCell="B2" zoomScaleNormal="100" workbookViewId="0">
      <selection activeCell="E22" sqref="E22"/>
    </sheetView>
  </sheetViews>
  <sheetFormatPr defaultRowHeight="14.25" x14ac:dyDescent="0.2"/>
  <cols>
    <col min="3" max="3" width="49.375" bestFit="1" customWidth="1"/>
    <col min="4" max="4" width="12.75" bestFit="1" customWidth="1"/>
    <col min="5" max="5" width="56.875" bestFit="1" customWidth="1"/>
    <col min="6" max="6" width="9.5" customWidth="1"/>
    <col min="7" max="7" width="16.5" bestFit="1" customWidth="1"/>
    <col min="9" max="9" width="49.25" bestFit="1" customWidth="1"/>
  </cols>
  <sheetData>
    <row r="2" spans="1:9" x14ac:dyDescent="0.2">
      <c r="A2">
        <v>1</v>
      </c>
      <c r="B2" t="s">
        <v>59</v>
      </c>
      <c r="C2" t="s">
        <v>477</v>
      </c>
      <c r="D2" s="1">
        <v>-867.78171999999995</v>
      </c>
    </row>
    <row r="3" spans="1:9" x14ac:dyDescent="0.2">
      <c r="A3">
        <v>2</v>
      </c>
      <c r="C3" t="s">
        <v>62</v>
      </c>
      <c r="D3" s="1">
        <v>-886.36429699999997</v>
      </c>
    </row>
    <row r="4" spans="1:9" x14ac:dyDescent="0.2">
      <c r="A4">
        <v>3</v>
      </c>
      <c r="C4" t="s">
        <v>64</v>
      </c>
      <c r="D4" s="4">
        <v>-985.44513500000005</v>
      </c>
      <c r="E4" t="s">
        <v>70</v>
      </c>
      <c r="H4">
        <v>-987.49419599999999</v>
      </c>
      <c r="I4" t="s">
        <v>67</v>
      </c>
    </row>
    <row r="5" spans="1:9" x14ac:dyDescent="0.2">
      <c r="C5" t="s">
        <v>93</v>
      </c>
      <c r="D5" s="1">
        <v>-986.97852399999999</v>
      </c>
    </row>
    <row r="6" spans="1:9" x14ac:dyDescent="0.2">
      <c r="A6">
        <v>4</v>
      </c>
      <c r="C6" t="s">
        <v>479</v>
      </c>
      <c r="D6" s="1">
        <v>-986.57934899999998</v>
      </c>
      <c r="E6" t="s">
        <v>73</v>
      </c>
      <c r="H6" s="1">
        <v>-987.43997000000002</v>
      </c>
      <c r="I6" t="s">
        <v>71</v>
      </c>
    </row>
    <row r="7" spans="1:9" x14ac:dyDescent="0.2">
      <c r="A7">
        <v>5</v>
      </c>
      <c r="D7" s="1">
        <v>-987.43997000000002</v>
      </c>
      <c r="E7" t="s">
        <v>78</v>
      </c>
      <c r="G7" t="s">
        <v>80</v>
      </c>
    </row>
    <row r="8" spans="1:9" x14ac:dyDescent="0.2">
      <c r="G8" s="1" t="s">
        <v>81</v>
      </c>
    </row>
    <row r="9" spans="1:9" x14ac:dyDescent="0.2">
      <c r="A9">
        <v>6</v>
      </c>
      <c r="C9" t="s">
        <v>99</v>
      </c>
      <c r="D9" s="1">
        <v>-881.822316</v>
      </c>
      <c r="E9" t="s">
        <v>79</v>
      </c>
    </row>
    <row r="10" spans="1:9" x14ac:dyDescent="0.2">
      <c r="A10">
        <v>7</v>
      </c>
      <c r="C10" t="s">
        <v>102</v>
      </c>
      <c r="D10" s="1">
        <v>-867.78157599999997</v>
      </c>
      <c r="E10" t="s">
        <v>82</v>
      </c>
      <c r="F10" s="1">
        <v>-986.57934899999998</v>
      </c>
    </row>
    <row r="11" spans="1:9" x14ac:dyDescent="0.2">
      <c r="F11">
        <f>F10-D5</f>
        <v>0.39917500000001382</v>
      </c>
    </row>
    <row r="14" spans="1:9" x14ac:dyDescent="0.2">
      <c r="E14" t="s">
        <v>533</v>
      </c>
      <c r="F14">
        <v>-986.579339</v>
      </c>
    </row>
    <row r="20" spans="1:8" x14ac:dyDescent="0.2">
      <c r="A20">
        <v>-867.78171999999995</v>
      </c>
      <c r="C20" t="s">
        <v>502</v>
      </c>
      <c r="D20" s="1">
        <v>-881.34502299999997</v>
      </c>
      <c r="E20" t="s">
        <v>534</v>
      </c>
      <c r="G20" s="1">
        <v>-881.822316</v>
      </c>
      <c r="H20" t="s">
        <v>99</v>
      </c>
    </row>
    <row r="21" spans="1:8" x14ac:dyDescent="0.2">
      <c r="A21" s="1">
        <v>-886.36429699999997</v>
      </c>
      <c r="E21" t="s">
        <v>739</v>
      </c>
      <c r="F21" t="s">
        <v>768</v>
      </c>
    </row>
    <row r="22" spans="1:8" x14ac:dyDescent="0.2">
      <c r="A22" s="1">
        <v>-986.97852399999999</v>
      </c>
      <c r="E22" t="s">
        <v>769</v>
      </c>
      <c r="F22">
        <v>-881.00874699999997</v>
      </c>
    </row>
    <row r="23" spans="1:8" x14ac:dyDescent="0.2">
      <c r="A23" s="1">
        <v>-986.57934899999998</v>
      </c>
      <c r="F23" s="1">
        <f>F22-D20</f>
        <v>0.33627599999999802</v>
      </c>
    </row>
    <row r="24" spans="1:8" x14ac:dyDescent="0.2">
      <c r="A24" s="1">
        <v>-987.43997000000002</v>
      </c>
    </row>
    <row r="25" spans="1:8" x14ac:dyDescent="0.2">
      <c r="A25" s="1">
        <v>-881.822316</v>
      </c>
    </row>
    <row r="26" spans="1:8" x14ac:dyDescent="0.2">
      <c r="A26" s="1">
        <v>-867.78157599999997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075F-08BF-4A00-8F38-F9B95007C861}">
  <sheetPr>
    <tabColor theme="4"/>
  </sheetPr>
  <dimension ref="B2:H16"/>
  <sheetViews>
    <sheetView workbookViewId="0">
      <selection activeCell="F15" sqref="F15"/>
    </sheetView>
  </sheetViews>
  <sheetFormatPr defaultRowHeight="14.25" x14ac:dyDescent="0.2"/>
  <cols>
    <col min="3" max="3" width="31.75" bestFit="1" customWidth="1"/>
    <col min="5" max="5" width="52.375" bestFit="1" customWidth="1"/>
    <col min="6" max="6" width="17.125" bestFit="1" customWidth="1"/>
  </cols>
  <sheetData>
    <row r="2" spans="2:8" x14ac:dyDescent="0.2">
      <c r="B2">
        <v>1</v>
      </c>
      <c r="C2" t="s">
        <v>309</v>
      </c>
      <c r="D2" s="1">
        <v>-874.10181799999998</v>
      </c>
    </row>
    <row r="3" spans="2:8" x14ac:dyDescent="0.2">
      <c r="B3">
        <v>2</v>
      </c>
      <c r="C3" t="s">
        <v>311</v>
      </c>
      <c r="D3" s="1">
        <v>-893.03040099999998</v>
      </c>
    </row>
    <row r="4" spans="2:8" x14ac:dyDescent="0.2">
      <c r="B4">
        <v>3</v>
      </c>
      <c r="C4" t="s">
        <v>315</v>
      </c>
      <c r="D4" s="1">
        <v>-992.09265300000004</v>
      </c>
      <c r="E4" t="s">
        <v>345</v>
      </c>
      <c r="G4" s="1">
        <v>-994.63488199999995</v>
      </c>
      <c r="H4" t="s">
        <v>340</v>
      </c>
    </row>
    <row r="5" spans="2:8" x14ac:dyDescent="0.2">
      <c r="B5">
        <v>4</v>
      </c>
      <c r="E5" t="s">
        <v>354</v>
      </c>
      <c r="H5" t="s">
        <v>563</v>
      </c>
    </row>
    <row r="6" spans="2:8" x14ac:dyDescent="0.2">
      <c r="B6">
        <v>5</v>
      </c>
      <c r="E6" t="s">
        <v>359</v>
      </c>
      <c r="F6" t="s">
        <v>361</v>
      </c>
    </row>
    <row r="7" spans="2:8" x14ac:dyDescent="0.2">
      <c r="B7">
        <v>6</v>
      </c>
      <c r="C7" t="s">
        <v>371</v>
      </c>
      <c r="D7" s="1">
        <v>-889.68933900000002</v>
      </c>
      <c r="E7" t="s">
        <v>360</v>
      </c>
      <c r="F7">
        <v>-991.79000799999994</v>
      </c>
    </row>
    <row r="8" spans="2:8" x14ac:dyDescent="0.2">
      <c r="B8">
        <v>7</v>
      </c>
      <c r="C8" t="s">
        <v>374</v>
      </c>
      <c r="D8" s="1">
        <v>-874.85681199999999</v>
      </c>
      <c r="F8" s="1">
        <f>F7-D4</f>
        <v>0.30264500000009775</v>
      </c>
    </row>
    <row r="15" spans="2:8" x14ac:dyDescent="0.2">
      <c r="C15" t="s">
        <v>503</v>
      </c>
      <c r="D15" s="1">
        <v>-888.10152900000003</v>
      </c>
      <c r="E15" t="s">
        <v>522</v>
      </c>
      <c r="F15" s="1">
        <v>-887.98180000000002</v>
      </c>
      <c r="G15" s="1">
        <v>-889.68933900000002</v>
      </c>
      <c r="H15" t="s">
        <v>371</v>
      </c>
    </row>
    <row r="16" spans="2:8" x14ac:dyDescent="0.2">
      <c r="F16">
        <f>F15-D15</f>
        <v>0.11972900000000664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6A82-B223-439A-8096-76CB44113FDD}">
  <sheetPr>
    <tabColor theme="4"/>
  </sheetPr>
  <dimension ref="A2:I24"/>
  <sheetViews>
    <sheetView topLeftCell="A7" workbookViewId="0">
      <selection activeCell="C17" sqref="C17"/>
    </sheetView>
  </sheetViews>
  <sheetFormatPr defaultRowHeight="14.25" x14ac:dyDescent="0.2"/>
  <cols>
    <col min="3" max="3" width="30.375" bestFit="1" customWidth="1"/>
    <col min="4" max="4" width="12.75" bestFit="1" customWidth="1"/>
    <col min="5" max="5" width="51.125" bestFit="1" customWidth="1"/>
    <col min="6" max="6" width="12.75" bestFit="1" customWidth="1"/>
    <col min="7" max="7" width="15.375" bestFit="1" customWidth="1"/>
  </cols>
  <sheetData>
    <row r="2" spans="1:9" x14ac:dyDescent="0.2">
      <c r="A2">
        <v>1</v>
      </c>
      <c r="B2">
        <v>175</v>
      </c>
      <c r="C2" t="s">
        <v>58</v>
      </c>
      <c r="D2">
        <v>-875.08096999999998</v>
      </c>
    </row>
    <row r="3" spans="1:9" x14ac:dyDescent="0.2">
      <c r="A3">
        <v>2</v>
      </c>
      <c r="C3" t="s">
        <v>61</v>
      </c>
      <c r="D3" s="1">
        <v>-893.36601700000006</v>
      </c>
    </row>
    <row r="4" spans="1:9" x14ac:dyDescent="0.2">
      <c r="A4">
        <v>3</v>
      </c>
      <c r="C4" t="s">
        <v>63</v>
      </c>
      <c r="D4" s="4">
        <v>-992.42351399999995</v>
      </c>
      <c r="E4" t="s">
        <v>87</v>
      </c>
      <c r="H4" s="1">
        <v>-994.81056699999999</v>
      </c>
      <c r="I4" t="s">
        <v>75</v>
      </c>
    </row>
    <row r="5" spans="1:9" x14ac:dyDescent="0.2">
      <c r="C5" t="s">
        <v>115</v>
      </c>
      <c r="D5" s="1">
        <v>-992.44037300000002</v>
      </c>
      <c r="H5" s="1"/>
    </row>
    <row r="6" spans="1:9" x14ac:dyDescent="0.2">
      <c r="A6">
        <v>4</v>
      </c>
      <c r="D6" s="14">
        <v>-992.26678400000003</v>
      </c>
      <c r="E6" t="s">
        <v>88</v>
      </c>
    </row>
    <row r="7" spans="1:9" x14ac:dyDescent="0.2">
      <c r="A7">
        <v>5</v>
      </c>
      <c r="D7" s="1">
        <v>-994.81056699999999</v>
      </c>
      <c r="E7" t="s">
        <v>90</v>
      </c>
      <c r="G7" t="s">
        <v>105</v>
      </c>
    </row>
    <row r="8" spans="1:9" x14ac:dyDescent="0.2">
      <c r="A8">
        <v>6</v>
      </c>
      <c r="C8" t="s">
        <v>120</v>
      </c>
      <c r="D8" s="1">
        <v>-889.20000500000003</v>
      </c>
      <c r="E8" t="s">
        <v>108</v>
      </c>
      <c r="F8" s="14">
        <v>-992.26678400000003</v>
      </c>
    </row>
    <row r="9" spans="1:9" x14ac:dyDescent="0.2">
      <c r="A9">
        <v>7</v>
      </c>
      <c r="C9" t="s">
        <v>121</v>
      </c>
      <c r="D9" s="1">
        <v>-875.08093199999996</v>
      </c>
      <c r="F9">
        <f>F8-D5</f>
        <v>0.17358899999999267</v>
      </c>
    </row>
    <row r="12" spans="1:9" x14ac:dyDescent="0.2">
      <c r="A12">
        <v>-875.08096999999998</v>
      </c>
    </row>
    <row r="13" spans="1:9" x14ac:dyDescent="0.2">
      <c r="A13" s="1">
        <v>-893.36601700000006</v>
      </c>
    </row>
    <row r="14" spans="1:9" x14ac:dyDescent="0.2">
      <c r="A14" s="1">
        <v>-992.44037300000002</v>
      </c>
      <c r="C14" t="s">
        <v>218</v>
      </c>
    </row>
    <row r="15" spans="1:9" x14ac:dyDescent="0.2">
      <c r="A15" s="14">
        <v>-992.26678400000003</v>
      </c>
      <c r="C15" t="s">
        <v>217</v>
      </c>
    </row>
    <row r="16" spans="1:9" x14ac:dyDescent="0.2">
      <c r="A16" s="1">
        <v>-994.81056699999999</v>
      </c>
      <c r="C16" t="s">
        <v>222</v>
      </c>
    </row>
    <row r="17" spans="1:8" x14ac:dyDescent="0.2">
      <c r="A17" s="1">
        <v>-889.20000500000003</v>
      </c>
      <c r="C17" t="s">
        <v>223</v>
      </c>
    </row>
    <row r="18" spans="1:8" x14ac:dyDescent="0.2">
      <c r="A18" s="1">
        <v>-875.08093199999996</v>
      </c>
    </row>
    <row r="23" spans="1:8" x14ac:dyDescent="0.2">
      <c r="C23" t="s">
        <v>504</v>
      </c>
      <c r="D23">
        <v>-887.68915400000003</v>
      </c>
      <c r="E23" t="s">
        <v>523</v>
      </c>
      <c r="F23" s="1">
        <v>-887.6327</v>
      </c>
      <c r="G23" s="1">
        <v>-889.20000500000003</v>
      </c>
      <c r="H23" t="s">
        <v>120</v>
      </c>
    </row>
    <row r="24" spans="1:8" x14ac:dyDescent="0.2">
      <c r="F24">
        <f>F23-D23</f>
        <v>5.6454000000030646E-2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6EA5-9548-40C0-B813-4308827D950A}">
  <sheetPr>
    <tabColor rgb="FFC00000"/>
  </sheetPr>
  <dimension ref="C2:E2"/>
  <sheetViews>
    <sheetView workbookViewId="0">
      <selection activeCell="B8" sqref="B8"/>
    </sheetView>
  </sheetViews>
  <sheetFormatPr defaultRowHeight="14.25" x14ac:dyDescent="0.2"/>
  <cols>
    <col min="4" max="4" width="44.375" bestFit="1" customWidth="1"/>
  </cols>
  <sheetData>
    <row r="2" spans="3:5" x14ac:dyDescent="0.2">
      <c r="C2">
        <v>1</v>
      </c>
      <c r="D2" t="s">
        <v>348</v>
      </c>
      <c r="E2">
        <v>-864.39046900000005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3455-9B64-446C-B28C-A3C3CC7DD982}">
  <sheetPr>
    <tabColor theme="4" tint="0.79998168889431442"/>
  </sheetPr>
  <dimension ref="A2:G5"/>
  <sheetViews>
    <sheetView workbookViewId="0">
      <selection activeCell="F37" sqref="F37"/>
    </sheetView>
  </sheetViews>
  <sheetFormatPr defaultRowHeight="14.25" x14ac:dyDescent="0.2"/>
  <cols>
    <col min="2" max="2" width="50.5" bestFit="1" customWidth="1"/>
    <col min="4" max="4" width="34.5" bestFit="1" customWidth="1"/>
    <col min="7" max="7" width="48.25" bestFit="1" customWidth="1"/>
  </cols>
  <sheetData>
    <row r="2" spans="1:7" x14ac:dyDescent="0.2">
      <c r="A2">
        <v>1</v>
      </c>
      <c r="B2" t="s">
        <v>349</v>
      </c>
      <c r="C2" s="1">
        <v>-867.27424299999996</v>
      </c>
    </row>
    <row r="3" spans="1:7" x14ac:dyDescent="0.2">
      <c r="A3">
        <v>2</v>
      </c>
      <c r="B3" t="s">
        <v>355</v>
      </c>
      <c r="C3" s="1">
        <v>-885.73588099999995</v>
      </c>
    </row>
    <row r="4" spans="1:7" x14ac:dyDescent="0.2">
      <c r="B4" t="s">
        <v>357</v>
      </c>
      <c r="C4" s="1">
        <v>-984.81819599999994</v>
      </c>
      <c r="D4" t="s">
        <v>421</v>
      </c>
      <c r="G4" t="s">
        <v>379</v>
      </c>
    </row>
    <row r="5" spans="1:7" x14ac:dyDescent="0.2">
      <c r="F5" s="1">
        <v>-987.38239999999996</v>
      </c>
      <c r="G5" t="s">
        <v>394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DA39-C6BF-4A3B-AB90-2D27F18FCE09}">
  <sheetPr>
    <tabColor rgb="FFC00000"/>
  </sheetPr>
  <dimension ref="B2:E3"/>
  <sheetViews>
    <sheetView workbookViewId="0">
      <selection activeCell="D33" sqref="D33"/>
    </sheetView>
  </sheetViews>
  <sheetFormatPr defaultRowHeight="14.25" x14ac:dyDescent="0.2"/>
  <cols>
    <col min="3" max="3" width="49.75" bestFit="1" customWidth="1"/>
  </cols>
  <sheetData>
    <row r="2" spans="2:5" x14ac:dyDescent="0.2">
      <c r="B2">
        <v>1</v>
      </c>
      <c r="C2" t="s">
        <v>350</v>
      </c>
      <c r="D2">
        <v>-863.19945099999995</v>
      </c>
    </row>
    <row r="3" spans="2:5" x14ac:dyDescent="0.2">
      <c r="B3">
        <v>2</v>
      </c>
      <c r="C3" t="s">
        <v>365</v>
      </c>
      <c r="D3">
        <v>-882.941642</v>
      </c>
      <c r="E3" t="s">
        <v>372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A9E1-571F-4FDC-9F5E-C25E9F7BF4E2}">
  <sheetPr>
    <tabColor rgb="FFC00000"/>
  </sheetPr>
  <dimension ref="B2:E4"/>
  <sheetViews>
    <sheetView workbookViewId="0">
      <selection activeCell="F13" sqref="F13"/>
    </sheetView>
  </sheetViews>
  <sheetFormatPr defaultRowHeight="14.25" x14ac:dyDescent="0.2"/>
  <cols>
    <col min="3" max="3" width="45.5" bestFit="1" customWidth="1"/>
    <col min="5" max="5" width="12.5" bestFit="1" customWidth="1"/>
  </cols>
  <sheetData>
    <row r="2" spans="2:5" x14ac:dyDescent="0.2">
      <c r="B2">
        <v>1</v>
      </c>
      <c r="C2" t="s">
        <v>351</v>
      </c>
      <c r="D2" s="1">
        <v>-858.25695800000005</v>
      </c>
    </row>
    <row r="3" spans="2:5" x14ac:dyDescent="0.2">
      <c r="C3" t="s">
        <v>358</v>
      </c>
      <c r="D3">
        <v>-878.33831899999996</v>
      </c>
    </row>
    <row r="4" spans="2:5" x14ac:dyDescent="0.2">
      <c r="C4" t="s">
        <v>362</v>
      </c>
      <c r="D4">
        <v>-878.32828199999994</v>
      </c>
      <c r="E4" t="s">
        <v>366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7CBB-3E3D-4F77-AAE0-E291A0F439DE}">
  <sheetPr>
    <tabColor rgb="FFC00000"/>
  </sheetPr>
  <dimension ref="C2:E4"/>
  <sheetViews>
    <sheetView topLeftCell="B1" workbookViewId="0">
      <selection activeCell="E8" sqref="E8"/>
    </sheetView>
  </sheetViews>
  <sheetFormatPr defaultRowHeight="14.25" x14ac:dyDescent="0.2"/>
  <cols>
    <col min="3" max="3" width="45.75" bestFit="1" customWidth="1"/>
    <col min="5" max="5" width="13.375" bestFit="1" customWidth="1"/>
  </cols>
  <sheetData>
    <row r="2" spans="3:5" x14ac:dyDescent="0.2">
      <c r="C2" t="s">
        <v>369</v>
      </c>
      <c r="D2">
        <v>-870.08698100000004</v>
      </c>
    </row>
    <row r="3" spans="3:5" x14ac:dyDescent="0.2">
      <c r="C3" t="s">
        <v>370</v>
      </c>
      <c r="D3">
        <v>-889.73849099999995</v>
      </c>
    </row>
    <row r="4" spans="3:5" x14ac:dyDescent="0.2">
      <c r="C4" t="s">
        <v>378</v>
      </c>
      <c r="D4">
        <v>-889.29052000000001</v>
      </c>
      <c r="E4" t="s">
        <v>422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630C-AEC2-4450-BDB8-06DEAFFAE2AB}">
  <sheetPr>
    <tabColor rgb="FFC00000"/>
  </sheetPr>
  <dimension ref="B2:E3"/>
  <sheetViews>
    <sheetView workbookViewId="0">
      <selection activeCell="F4" sqref="F4"/>
    </sheetView>
  </sheetViews>
  <sheetFormatPr defaultRowHeight="14.25" x14ac:dyDescent="0.2"/>
  <cols>
    <col min="3" max="3" width="44.375" bestFit="1" customWidth="1"/>
  </cols>
  <sheetData>
    <row r="2" spans="2:5" x14ac:dyDescent="0.2">
      <c r="B2">
        <v>1</v>
      </c>
      <c r="C2" t="s">
        <v>363</v>
      </c>
      <c r="D2">
        <v>-867.94461699999999</v>
      </c>
    </row>
    <row r="3" spans="2:5" x14ac:dyDescent="0.2">
      <c r="B3">
        <v>2</v>
      </c>
      <c r="C3" t="s">
        <v>367</v>
      </c>
      <c r="D3">
        <v>-887.62515800000006</v>
      </c>
      <c r="E3" t="s">
        <v>366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04C4-86C0-47FF-AFF3-ED697E0EA856}">
  <sheetPr>
    <tabColor theme="4"/>
  </sheetPr>
  <dimension ref="B2:H19"/>
  <sheetViews>
    <sheetView workbookViewId="0">
      <selection activeCell="H16" sqref="H16"/>
    </sheetView>
  </sheetViews>
  <sheetFormatPr defaultRowHeight="14.25" x14ac:dyDescent="0.2"/>
  <cols>
    <col min="3" max="3" width="44.375" bestFit="1" customWidth="1"/>
    <col min="5" max="5" width="58.125" bestFit="1" customWidth="1"/>
    <col min="8" max="8" width="43.75" bestFit="1" customWidth="1"/>
  </cols>
  <sheetData>
    <row r="2" spans="2:8" x14ac:dyDescent="0.2">
      <c r="B2">
        <v>1</v>
      </c>
      <c r="C2" t="s">
        <v>364</v>
      </c>
      <c r="D2" s="1">
        <v>-863.44497000000001</v>
      </c>
    </row>
    <row r="3" spans="2:8" x14ac:dyDescent="0.2">
      <c r="B3">
        <v>2</v>
      </c>
      <c r="C3" t="s">
        <v>368</v>
      </c>
      <c r="D3" s="1">
        <v>-883.02753199999995</v>
      </c>
    </row>
    <row r="4" spans="2:8" x14ac:dyDescent="0.2">
      <c r="B4">
        <v>3</v>
      </c>
      <c r="C4" t="s">
        <v>373</v>
      </c>
      <c r="D4" s="1">
        <v>-982.18279399999994</v>
      </c>
      <c r="E4" t="s">
        <v>393</v>
      </c>
      <c r="G4" s="1">
        <v>-984.23781299999996</v>
      </c>
      <c r="H4" t="s">
        <v>375</v>
      </c>
    </row>
    <row r="5" spans="2:8" x14ac:dyDescent="0.2">
      <c r="E5" t="s">
        <v>398</v>
      </c>
    </row>
    <row r="6" spans="2:8" x14ac:dyDescent="0.2">
      <c r="E6" t="s">
        <v>399</v>
      </c>
      <c r="F6" t="s">
        <v>400</v>
      </c>
    </row>
    <row r="7" spans="2:8" x14ac:dyDescent="0.2">
      <c r="E7" t="s">
        <v>423</v>
      </c>
      <c r="F7" s="1">
        <v>-981.68710899999996</v>
      </c>
    </row>
    <row r="8" spans="2:8" x14ac:dyDescent="0.2">
      <c r="B8">
        <v>6</v>
      </c>
      <c r="C8" t="s">
        <v>424</v>
      </c>
      <c r="D8" s="1">
        <v>-878.62263399999995</v>
      </c>
      <c r="F8">
        <f>F7-D4</f>
        <v>0.49568499999998039</v>
      </c>
    </row>
    <row r="9" spans="2:8" x14ac:dyDescent="0.2">
      <c r="B9">
        <v>7</v>
      </c>
      <c r="C9" t="s">
        <v>425</v>
      </c>
      <c r="D9" s="1">
        <v>-863.31769499999996</v>
      </c>
    </row>
    <row r="16" spans="2:8" x14ac:dyDescent="0.2">
      <c r="C16" t="s">
        <v>506</v>
      </c>
      <c r="D16" s="1">
        <v>-877.99653000000001</v>
      </c>
      <c r="E16" t="s">
        <v>537</v>
      </c>
      <c r="G16" s="1">
        <v>-878.62263399999995</v>
      </c>
      <c r="H16" t="s">
        <v>424</v>
      </c>
    </row>
    <row r="17" spans="5:6" x14ac:dyDescent="0.2">
      <c r="E17" t="s">
        <v>741</v>
      </c>
    </row>
    <row r="18" spans="5:6" x14ac:dyDescent="0.2">
      <c r="E18" t="s">
        <v>771</v>
      </c>
      <c r="F18">
        <v>-877.86648700000001</v>
      </c>
    </row>
    <row r="19" spans="5:6" x14ac:dyDescent="0.2">
      <c r="F19" s="1">
        <f>F18-D16</f>
        <v>0.13004300000000057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3575-BA8A-4F82-9311-5CE9D89786E6}">
  <sheetPr>
    <tabColor theme="4"/>
  </sheetPr>
  <dimension ref="A1:I29"/>
  <sheetViews>
    <sheetView workbookViewId="0">
      <selection activeCell="E28" sqref="E28"/>
    </sheetView>
  </sheetViews>
  <sheetFormatPr defaultRowHeight="14.25" x14ac:dyDescent="0.2"/>
  <cols>
    <col min="3" max="3" width="49.875" bestFit="1" customWidth="1"/>
    <col min="5" max="5" width="78.25" bestFit="1" customWidth="1"/>
    <col min="9" max="9" width="47.75" bestFit="1" customWidth="1"/>
  </cols>
  <sheetData>
    <row r="1" spans="1:9" x14ac:dyDescent="0.2">
      <c r="A1">
        <v>1</v>
      </c>
      <c r="B1" t="s">
        <v>185</v>
      </c>
      <c r="C1" t="s">
        <v>184</v>
      </c>
      <c r="D1" s="1">
        <v>-877.83180000000004</v>
      </c>
    </row>
    <row r="2" spans="1:9" x14ac:dyDescent="0.2">
      <c r="A2">
        <v>2</v>
      </c>
      <c r="C2" t="s">
        <v>188</v>
      </c>
      <c r="D2" s="1">
        <v>-896.72842300000002</v>
      </c>
    </row>
    <row r="3" spans="1:9" x14ac:dyDescent="0.2">
      <c r="A3">
        <v>3</v>
      </c>
      <c r="C3" t="s">
        <v>189</v>
      </c>
      <c r="D3" s="15">
        <v>-995.75527299999999</v>
      </c>
      <c r="E3" t="s">
        <v>193</v>
      </c>
      <c r="H3">
        <v>-998.31803300000001</v>
      </c>
      <c r="I3" t="s">
        <v>192</v>
      </c>
    </row>
    <row r="4" spans="1:9" x14ac:dyDescent="0.2">
      <c r="C4" t="s">
        <v>253</v>
      </c>
      <c r="D4" t="s">
        <v>276</v>
      </c>
      <c r="E4" t="s">
        <v>229</v>
      </c>
      <c r="F4" t="s">
        <v>230</v>
      </c>
    </row>
    <row r="5" spans="1:9" x14ac:dyDescent="0.2">
      <c r="C5" t="s">
        <v>277</v>
      </c>
      <c r="D5">
        <v>-998.05258000000003</v>
      </c>
      <c r="E5" t="s">
        <v>235</v>
      </c>
      <c r="F5" t="s">
        <v>247</v>
      </c>
    </row>
    <row r="6" spans="1:9" x14ac:dyDescent="0.2">
      <c r="C6" t="s">
        <v>301</v>
      </c>
      <c r="D6" t="s">
        <v>303</v>
      </c>
      <c r="E6" t="s">
        <v>248</v>
      </c>
      <c r="F6">
        <v>-996.93102199999998</v>
      </c>
    </row>
    <row r="7" spans="1:9" x14ac:dyDescent="0.2">
      <c r="C7" t="s">
        <v>304</v>
      </c>
      <c r="D7" t="s">
        <v>303</v>
      </c>
      <c r="F7" s="1">
        <f>F6-D3</f>
        <v>-1.1757489999999962</v>
      </c>
    </row>
    <row r="8" spans="1:9" x14ac:dyDescent="0.2">
      <c r="E8" t="s">
        <v>306</v>
      </c>
    </row>
    <row r="12" spans="1:9" x14ac:dyDescent="0.2">
      <c r="A12">
        <v>6</v>
      </c>
      <c r="C12" t="s">
        <v>347</v>
      </c>
      <c r="D12" s="1">
        <v>-892.698172</v>
      </c>
    </row>
    <row r="13" spans="1:9" x14ac:dyDescent="0.2">
      <c r="A13">
        <v>7</v>
      </c>
      <c r="C13" t="s">
        <v>356</v>
      </c>
      <c r="D13" s="1">
        <v>-877.83182299999999</v>
      </c>
    </row>
    <row r="20" spans="3:8" x14ac:dyDescent="0.2">
      <c r="C20" t="s">
        <v>396</v>
      </c>
      <c r="D20" t="s">
        <v>433</v>
      </c>
    </row>
    <row r="21" spans="3:8" x14ac:dyDescent="0.2">
      <c r="C21" t="s">
        <v>435</v>
      </c>
      <c r="D21">
        <v>-4.0426599999999997</v>
      </c>
    </row>
    <row r="27" spans="3:8" x14ac:dyDescent="0.2">
      <c r="C27" t="s">
        <v>509</v>
      </c>
      <c r="D27" s="1">
        <v>-890.669533</v>
      </c>
      <c r="E27" t="s">
        <v>540</v>
      </c>
      <c r="G27" s="1">
        <v>-892.698172</v>
      </c>
      <c r="H27" t="s">
        <v>347</v>
      </c>
    </row>
    <row r="28" spans="3:8" x14ac:dyDescent="0.2">
      <c r="E28" t="s">
        <v>743</v>
      </c>
      <c r="F28">
        <v>-890.57309999999995</v>
      </c>
    </row>
    <row r="29" spans="3:8" x14ac:dyDescent="0.2">
      <c r="F29" s="1">
        <f>F28-D27</f>
        <v>9.6433000000047286E-2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D1C4-282F-40D3-AEBF-422F7E2968BC}">
  <sheetPr>
    <tabColor rgb="FFC00000"/>
  </sheetPr>
  <dimension ref="B1:D4"/>
  <sheetViews>
    <sheetView topLeftCell="C1" workbookViewId="0">
      <selection activeCell="F55" sqref="F55"/>
    </sheetView>
  </sheetViews>
  <sheetFormatPr defaultRowHeight="14.25" x14ac:dyDescent="0.2"/>
  <cols>
    <col min="2" max="2" width="7" bestFit="1" customWidth="1"/>
    <col min="3" max="3" width="50.25" bestFit="1" customWidth="1"/>
  </cols>
  <sheetData>
    <row r="1" spans="2:4" x14ac:dyDescent="0.2">
      <c r="B1" t="s">
        <v>174</v>
      </c>
      <c r="C1" t="s">
        <v>173</v>
      </c>
      <c r="D1">
        <v>-861.71276599999999</v>
      </c>
    </row>
    <row r="2" spans="2:4" x14ac:dyDescent="0.2">
      <c r="C2" t="s">
        <v>177</v>
      </c>
      <c r="D2" s="3">
        <v>-881.24222399999996</v>
      </c>
    </row>
    <row r="3" spans="2:4" x14ac:dyDescent="0.2">
      <c r="C3" t="s">
        <v>179</v>
      </c>
      <c r="D3" s="16" t="s">
        <v>181</v>
      </c>
    </row>
    <row r="4" spans="2:4" x14ac:dyDescent="0.2">
      <c r="C4" t="s">
        <v>180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吉布斯自由能汇总</vt:lpstr>
      <vt:lpstr>catmap数据集</vt:lpstr>
      <vt:lpstr>排序</vt:lpstr>
      <vt:lpstr>Ti-In</vt:lpstr>
      <vt:lpstr>测试</vt:lpstr>
      <vt:lpstr>Ti-Re</vt:lpstr>
      <vt:lpstr>Ti-Cr</vt:lpstr>
      <vt:lpstr>Ti-Mn</vt:lpstr>
      <vt:lpstr>Ti-Hf</vt:lpstr>
      <vt:lpstr>单核ti</vt:lpstr>
      <vt:lpstr>Ti-Nb</vt:lpstr>
      <vt:lpstr>Ti-Zr</vt:lpstr>
      <vt:lpstr>Ti-Fe</vt:lpstr>
      <vt:lpstr>Ti-W</vt:lpstr>
      <vt:lpstr>Ti-Mo</vt:lpstr>
      <vt:lpstr>Ti-Co</vt:lpstr>
      <vt:lpstr>Ti-Ti</vt:lpstr>
      <vt:lpstr>Ti-V</vt:lpstr>
      <vt:lpstr>Ti-La</vt:lpstr>
      <vt:lpstr>Ti-Ge</vt:lpstr>
      <vt:lpstr>Ti-Ga</vt:lpstr>
      <vt:lpstr>Ti-Zn</vt:lpstr>
      <vt:lpstr>Ti-B</vt:lpstr>
      <vt:lpstr>Ti-Al</vt:lpstr>
      <vt:lpstr>Ti-Ni</vt:lpstr>
      <vt:lpstr>Ti-Ta</vt:lpstr>
      <vt:lpstr>Ti-Cu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liyaqian</dc:creator>
  <cp:lastModifiedBy>liyaqian</cp:lastModifiedBy>
  <dcterms:created xsi:type="dcterms:W3CDTF">2015-06-05T18:19:34Z</dcterms:created>
  <dcterms:modified xsi:type="dcterms:W3CDTF">2026-10-09T09:59:38Z</dcterms:modified>
</cp:coreProperties>
</file>