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ydiayu/Dropbox (MIT)/Senior/15.780/lecture codes and data/"/>
    </mc:Choice>
  </mc:AlternateContent>
  <xr:revisionPtr revIDLastSave="0" documentId="13_ncr:1_{F9F22A65-5125-5F4B-BAF7-084DD17A01AF}" xr6:coauthVersionLast="36" xr6:coauthVersionMax="36" xr10:uidLastSave="{00000000-0000-0000-0000-000000000000}"/>
  <bookViews>
    <workbookView xWindow="-120" yWindow="5980" windowWidth="28800" windowHeight="14980" activeTab="2" xr2:uid="{00000000-000D-0000-FFFF-FFFF00000000}"/>
  </bookViews>
  <sheets>
    <sheet name="Single Order" sheetId="1" r:id="rId1"/>
    <sheet name="Two Period Model" sheetId="21" r:id="rId2"/>
    <sheet name="simulatio" sheetId="22" r:id="rId3"/>
  </sheets>
  <definedNames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'Single Order'!$K$20</definedName>
    <definedName name="solver_opt" localSheetId="1" hidden="1">'Two Period Model'!$I$19</definedName>
    <definedName name="solver_pre" localSheetId="0" hidden="1">0.000001</definedName>
    <definedName name="solver_pre" localSheetId="1" hidden="1">0.000001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</definedNames>
  <calcPr calcId="181029"/>
</workbook>
</file>

<file path=xl/calcChain.xml><?xml version="1.0" encoding="utf-8"?>
<calcChain xmlns="http://schemas.openxmlformats.org/spreadsheetml/2006/main">
  <c r="F15" i="22" l="1"/>
  <c r="F2" i="22"/>
  <c r="F3" i="22"/>
  <c r="O6" i="22"/>
  <c r="L3" i="22"/>
  <c r="J3" i="22"/>
  <c r="E3" i="22"/>
  <c r="L2" i="22"/>
  <c r="J2" i="22"/>
  <c r="G15" i="22" l="1"/>
  <c r="H15" i="22" s="1"/>
  <c r="I15" i="22" s="1"/>
  <c r="L15" i="22" s="1"/>
  <c r="G16" i="22"/>
  <c r="F16" i="22"/>
  <c r="E2" i="22"/>
  <c r="H16" i="22" l="1"/>
  <c r="I16" i="22" s="1"/>
  <c r="L16" i="22" s="1"/>
  <c r="M15" i="22"/>
  <c r="G2" i="22"/>
  <c r="H2" i="22" s="1"/>
  <c r="M2" i="22" s="1"/>
  <c r="G3" i="22"/>
  <c r="H3" i="22" s="1"/>
  <c r="M3" i="22" s="1"/>
  <c r="N15" i="22" l="1"/>
  <c r="Q15" i="22"/>
  <c r="M16" i="22"/>
  <c r="N2" i="22"/>
  <c r="N3" i="22"/>
  <c r="M2" i="1"/>
  <c r="F2" i="1"/>
  <c r="G2" i="1"/>
  <c r="N16" i="22" l="1"/>
  <c r="Q16" i="22"/>
  <c r="O15" i="22"/>
  <c r="R15" i="22" s="1"/>
  <c r="O3" i="22"/>
  <c r="R3" i="22"/>
  <c r="O2" i="22"/>
  <c r="R2" i="22"/>
  <c r="O14" i="21"/>
  <c r="P15" i="22" l="1"/>
  <c r="O16" i="22"/>
  <c r="R16" i="22" s="1"/>
  <c r="R5" i="22"/>
  <c r="P2" i="22"/>
  <c r="S2" i="22" s="1"/>
  <c r="P3" i="22"/>
  <c r="S3" i="22" s="1"/>
  <c r="D2" i="1"/>
  <c r="C2" i="1"/>
  <c r="E2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P16" i="22" l="1"/>
  <c r="Q3" i="22"/>
  <c r="S5" i="22"/>
  <c r="Q2" i="22"/>
  <c r="J2" i="21"/>
  <c r="J3" i="21"/>
  <c r="J4" i="21"/>
  <c r="J5" i="21"/>
  <c r="J6" i="21"/>
  <c r="J7" i="21"/>
  <c r="J8" i="21"/>
  <c r="J9" i="21"/>
  <c r="J10" i="21"/>
  <c r="L11" i="21"/>
  <c r="J11" i="21"/>
  <c r="C11" i="21"/>
  <c r="E11" i="21" s="1"/>
  <c r="L10" i="21"/>
  <c r="C10" i="21"/>
  <c r="D10" i="21" s="1"/>
  <c r="L9" i="21"/>
  <c r="C9" i="21"/>
  <c r="L8" i="21"/>
  <c r="C8" i="21"/>
  <c r="D8" i="21" s="1"/>
  <c r="F8" i="21" s="1"/>
  <c r="L7" i="21"/>
  <c r="C7" i="21"/>
  <c r="L6" i="21"/>
  <c r="C6" i="21"/>
  <c r="D6" i="21" s="1"/>
  <c r="L5" i="21"/>
  <c r="C5" i="21"/>
  <c r="L4" i="21"/>
  <c r="C4" i="21"/>
  <c r="L3" i="21"/>
  <c r="C3" i="21"/>
  <c r="L2" i="21"/>
  <c r="C2" i="21"/>
  <c r="T2" i="22" l="1"/>
  <c r="U2" i="22"/>
  <c r="T3" i="22"/>
  <c r="U3" i="22"/>
  <c r="H2" i="1"/>
  <c r="D2" i="21"/>
  <c r="F2" i="21" s="1"/>
  <c r="D4" i="21"/>
  <c r="F4" i="21" s="1"/>
  <c r="E5" i="21"/>
  <c r="E2" i="21"/>
  <c r="E7" i="21"/>
  <c r="E3" i="21"/>
  <c r="F6" i="21"/>
  <c r="F10" i="21"/>
  <c r="D3" i="21"/>
  <c r="F3" i="21" s="1"/>
  <c r="D7" i="21"/>
  <c r="F7" i="21" s="1"/>
  <c r="D11" i="21"/>
  <c r="F11" i="21" s="1"/>
  <c r="E6" i="21"/>
  <c r="E10" i="21"/>
  <c r="E9" i="21"/>
  <c r="D5" i="21"/>
  <c r="F5" i="21" s="1"/>
  <c r="D9" i="21"/>
  <c r="F9" i="21" s="1"/>
  <c r="E8" i="21"/>
  <c r="E4" i="21"/>
  <c r="U5" i="22" l="1"/>
  <c r="T5" i="22"/>
  <c r="G8" i="21"/>
  <c r="H8" i="21" s="1"/>
  <c r="M8" i="21" s="1"/>
  <c r="G11" i="21"/>
  <c r="H11" i="21" s="1"/>
  <c r="M11" i="21" s="1"/>
  <c r="G4" i="21"/>
  <c r="H4" i="21" s="1"/>
  <c r="M4" i="21" s="1"/>
  <c r="N4" i="21" s="1"/>
  <c r="G10" i="21"/>
  <c r="H10" i="21" s="1"/>
  <c r="M10" i="21" s="1"/>
  <c r="N10" i="21" s="1"/>
  <c r="G9" i="21"/>
  <c r="H9" i="21" s="1"/>
  <c r="M9" i="21" s="1"/>
  <c r="N9" i="21" s="1"/>
  <c r="G6" i="21"/>
  <c r="H6" i="21" s="1"/>
  <c r="M6" i="21" s="1"/>
  <c r="N6" i="21" s="1"/>
  <c r="G7" i="21"/>
  <c r="H7" i="21" s="1"/>
  <c r="M7" i="21" s="1"/>
  <c r="N7" i="21" s="1"/>
  <c r="G2" i="21"/>
  <c r="H2" i="21" s="1"/>
  <c r="M2" i="21" s="1"/>
  <c r="N2" i="21" s="1"/>
  <c r="G5" i="21"/>
  <c r="H5" i="21" s="1"/>
  <c r="M5" i="21" s="1"/>
  <c r="N5" i="21" s="1"/>
  <c r="G3" i="21"/>
  <c r="H3" i="21" s="1"/>
  <c r="M3" i="21" s="1"/>
  <c r="N3" i="21" s="1"/>
  <c r="B10" i="22" l="1"/>
  <c r="N11" i="21"/>
  <c r="O11" i="21" s="1"/>
  <c r="N8" i="21"/>
  <c r="R8" i="21" s="1"/>
  <c r="R5" i="21"/>
  <c r="R4" i="21"/>
  <c r="R6" i="21"/>
  <c r="R9" i="21"/>
  <c r="R7" i="21"/>
  <c r="O8" i="21" l="1"/>
  <c r="P8" i="21" s="1"/>
  <c r="S8" i="21" s="1"/>
  <c r="R11" i="21"/>
  <c r="O10" i="21"/>
  <c r="R10" i="21"/>
  <c r="O3" i="21"/>
  <c r="R3" i="21"/>
  <c r="P11" i="21"/>
  <c r="S11" i="21" s="1"/>
  <c r="O9" i="21"/>
  <c r="O5" i="21"/>
  <c r="O7" i="21"/>
  <c r="O6" i="21"/>
  <c r="O4" i="21"/>
  <c r="R2" i="21"/>
  <c r="Q11" i="21" l="1"/>
  <c r="T11" i="21" s="1"/>
  <c r="Q8" i="21"/>
  <c r="T8" i="21" s="1"/>
  <c r="P6" i="21"/>
  <c r="S6" i="21" s="1"/>
  <c r="P7" i="21"/>
  <c r="S7" i="21" s="1"/>
  <c r="P5" i="21"/>
  <c r="S5" i="21" s="1"/>
  <c r="O2" i="21"/>
  <c r="R13" i="21"/>
  <c r="P4" i="21"/>
  <c r="S4" i="21" s="1"/>
  <c r="P9" i="21"/>
  <c r="S9" i="21" s="1"/>
  <c r="P3" i="21"/>
  <c r="S3" i="21" s="1"/>
  <c r="P10" i="21"/>
  <c r="S10" i="21" s="1"/>
  <c r="U11" i="21" l="1"/>
  <c r="U8" i="21"/>
  <c r="Q7" i="21"/>
  <c r="U7" i="21" s="1"/>
  <c r="Q6" i="21"/>
  <c r="U6" i="21" s="1"/>
  <c r="Q4" i="21"/>
  <c r="T4" i="21" s="1"/>
  <c r="Q10" i="21"/>
  <c r="T10" i="21" s="1"/>
  <c r="Q9" i="21"/>
  <c r="U9" i="21" s="1"/>
  <c r="Q5" i="21"/>
  <c r="U5" i="21" s="1"/>
  <c r="P2" i="21"/>
  <c r="Q3" i="21"/>
  <c r="J14" i="1"/>
  <c r="D3" i="1"/>
  <c r="D4" i="1"/>
  <c r="D5" i="1"/>
  <c r="D6" i="1"/>
  <c r="D7" i="1"/>
  <c r="D8" i="1"/>
  <c r="D9" i="1"/>
  <c r="D10" i="1"/>
  <c r="D11" i="1"/>
  <c r="U4" i="21" l="1"/>
  <c r="U10" i="21"/>
  <c r="T7" i="21"/>
  <c r="T6" i="21"/>
  <c r="T9" i="21"/>
  <c r="T5" i="21"/>
  <c r="S2" i="21"/>
  <c r="F3" i="1"/>
  <c r="G3" i="1"/>
  <c r="Q2" i="21"/>
  <c r="U2" i="21" s="1"/>
  <c r="U3" i="21"/>
  <c r="T3" i="21"/>
  <c r="I2" i="1"/>
  <c r="L2" i="1" s="1"/>
  <c r="F8" i="1"/>
  <c r="G8" i="1"/>
  <c r="G10" i="1"/>
  <c r="F10" i="1"/>
  <c r="G6" i="1"/>
  <c r="F6" i="1"/>
  <c r="G9" i="1"/>
  <c r="F9" i="1"/>
  <c r="G5" i="1"/>
  <c r="F5" i="1"/>
  <c r="F4" i="1"/>
  <c r="G4" i="1"/>
  <c r="G11" i="1"/>
  <c r="F11" i="1"/>
  <c r="F7" i="1"/>
  <c r="G7" i="1"/>
  <c r="H7" i="1" s="1"/>
  <c r="H4" i="1" l="1"/>
  <c r="H3" i="1"/>
  <c r="T2" i="21"/>
  <c r="T13" i="21" s="1"/>
  <c r="N2" i="1"/>
  <c r="O2" i="1" s="1"/>
  <c r="S13" i="21"/>
  <c r="H11" i="1"/>
  <c r="H8" i="1"/>
  <c r="I8" i="1" s="1"/>
  <c r="L8" i="1" s="1"/>
  <c r="M8" i="1" s="1"/>
  <c r="H5" i="1"/>
  <c r="I5" i="1" s="1"/>
  <c r="L5" i="1" s="1"/>
  <c r="M5" i="1" s="1"/>
  <c r="H6" i="1"/>
  <c r="I6" i="1" s="1"/>
  <c r="L6" i="1" s="1"/>
  <c r="M6" i="1" s="1"/>
  <c r="H9" i="1"/>
  <c r="I9" i="1" s="1"/>
  <c r="L9" i="1" s="1"/>
  <c r="M9" i="1" s="1"/>
  <c r="H10" i="1"/>
  <c r="I10" i="1" s="1"/>
  <c r="L10" i="1" s="1"/>
  <c r="M10" i="1" s="1"/>
  <c r="I3" i="1"/>
  <c r="L3" i="1" s="1"/>
  <c r="M3" i="1" s="1"/>
  <c r="U13" i="21"/>
  <c r="I4" i="1"/>
  <c r="L4" i="1" s="1"/>
  <c r="M4" i="1" s="1"/>
  <c r="I11" i="1"/>
  <c r="L11" i="1" s="1"/>
  <c r="M11" i="1" s="1"/>
  <c r="I7" i="1"/>
  <c r="L7" i="1" s="1"/>
  <c r="M7" i="1" s="1"/>
  <c r="P2" i="1" l="1"/>
  <c r="B18" i="21"/>
  <c r="Q2" i="1"/>
  <c r="L14" i="1"/>
  <c r="N8" i="1" l="1"/>
  <c r="Q8" i="1"/>
  <c r="N4" i="1"/>
  <c r="Q4" i="1"/>
  <c r="R2" i="1"/>
  <c r="N3" i="1"/>
  <c r="Q3" i="1"/>
  <c r="N11" i="1"/>
  <c r="Q11" i="1"/>
  <c r="N6" i="1"/>
  <c r="Q6" i="1"/>
  <c r="N9" i="1"/>
  <c r="Q9" i="1"/>
  <c r="N10" i="1"/>
  <c r="Q10" i="1"/>
  <c r="N5" i="1"/>
  <c r="Q5" i="1"/>
  <c r="N7" i="1"/>
  <c r="Q7" i="1"/>
  <c r="Q14" i="1" l="1"/>
  <c r="B19" i="1" s="1"/>
  <c r="O7" i="1"/>
  <c r="R7" i="1" s="1"/>
  <c r="O10" i="1"/>
  <c r="R10" i="1" s="1"/>
  <c r="O6" i="1"/>
  <c r="R6" i="1" s="1"/>
  <c r="O3" i="1"/>
  <c r="R3" i="1" s="1"/>
  <c r="O4" i="1"/>
  <c r="R4" i="1" s="1"/>
  <c r="O5" i="1"/>
  <c r="R5" i="1" s="1"/>
  <c r="O9" i="1"/>
  <c r="R9" i="1" s="1"/>
  <c r="O11" i="1"/>
  <c r="R11" i="1" s="1"/>
  <c r="O8" i="1"/>
  <c r="R8" i="1" s="1"/>
  <c r="R14" i="1" l="1"/>
  <c r="B20" i="1" s="1"/>
  <c r="P8" i="1"/>
  <c r="P11" i="1"/>
  <c r="P5" i="1"/>
  <c r="P3" i="1"/>
  <c r="P10" i="1"/>
  <c r="P9" i="1"/>
  <c r="P4" i="1"/>
  <c r="P6" i="1"/>
  <c r="P7" i="1"/>
  <c r="P14" i="1" l="1"/>
  <c r="B18" i="1" s="1"/>
</calcChain>
</file>

<file path=xl/sharedStrings.xml><?xml version="1.0" encoding="utf-8"?>
<sst xmlns="http://schemas.openxmlformats.org/spreadsheetml/2006/main" count="118" uniqueCount="54">
  <si>
    <t>Style</t>
  </si>
  <si>
    <t>Mean</t>
  </si>
  <si>
    <t>SD</t>
  </si>
  <si>
    <t>Order</t>
  </si>
  <si>
    <t>Sun Orange</t>
  </si>
  <si>
    <t>Short Sleeve Linen</t>
  </si>
  <si>
    <t>Sunray Stripe</t>
  </si>
  <si>
    <t>Regent Bias</t>
  </si>
  <si>
    <t>Italian Dobby</t>
  </si>
  <si>
    <t>Victorian Seamed</t>
  </si>
  <si>
    <t>Delicate Dobby</t>
  </si>
  <si>
    <t>Contemporary Stretch</t>
  </si>
  <si>
    <t>Tue Purples</t>
  </si>
  <si>
    <t>Pristine Cuff Detail</t>
  </si>
  <si>
    <t>Minimum lot size =</t>
  </si>
  <si>
    <t>Price</t>
  </si>
  <si>
    <t>Cost</t>
  </si>
  <si>
    <t>Cost discount =</t>
  </si>
  <si>
    <t>Salvage Value</t>
  </si>
  <si>
    <t>Number of orders</t>
  </si>
  <si>
    <t>Total profit =</t>
  </si>
  <si>
    <t>Retail Price</t>
  </si>
  <si>
    <t>Expected Profit</t>
  </si>
  <si>
    <t>In-house Cost</t>
  </si>
  <si>
    <t>Cost of Overstocking</t>
  </si>
  <si>
    <t>Cost of Understocking</t>
  </si>
  <si>
    <t>Critical Ratio</t>
  </si>
  <si>
    <t>z-value</t>
  </si>
  <si>
    <t>Expected Lost Sales</t>
  </si>
  <si>
    <t>Expected Sales</t>
  </si>
  <si>
    <t>Expected Leftover Inventory</t>
  </si>
  <si>
    <t>Expected Cost of Lost Sales</t>
  </si>
  <si>
    <t>Expected Cost of Leftover Inventory</t>
  </si>
  <si>
    <t>Per Period Order</t>
  </si>
  <si>
    <t>Per Period Expected Lost Sales</t>
  </si>
  <si>
    <t>Per Period Expected Sales</t>
  </si>
  <si>
    <t>Per Period Expected Leftover Inventory</t>
  </si>
  <si>
    <t>Per Period Expected Profit</t>
  </si>
  <si>
    <t>Per Period Expected Cost of Lost Sales</t>
  </si>
  <si>
    <t>Per Period Expected Cost of Leftover Inventory</t>
  </si>
  <si>
    <t>PERIOD 1 EXPECTED PROFIT</t>
  </si>
  <si>
    <t>PERIOD 2 EXPECTED PROFIT</t>
  </si>
  <si>
    <r>
      <t>Total</t>
    </r>
    <r>
      <rPr>
        <b/>
        <i/>
        <sz val="14"/>
        <rFont val="Arial"/>
        <family val="2"/>
      </rPr>
      <t xml:space="preserve"> Expected</t>
    </r>
    <r>
      <rPr>
        <b/>
        <sz val="14"/>
        <rFont val="Arial"/>
        <family val="2"/>
      </rPr>
      <t xml:space="preserve"> Profit = </t>
    </r>
  </si>
  <si>
    <r>
      <rPr>
        <i/>
        <sz val="12"/>
        <rFont val="Arial"/>
        <family val="2"/>
      </rPr>
      <t>Expected</t>
    </r>
    <r>
      <rPr>
        <sz val="12"/>
        <rFont val="Arial"/>
        <family val="2"/>
      </rPr>
      <t xml:space="preserve"> Cost of Lost Sales = </t>
    </r>
  </si>
  <si>
    <r>
      <rPr>
        <i/>
        <sz val="12"/>
        <rFont val="Arial"/>
        <family val="2"/>
      </rPr>
      <t>Expected</t>
    </r>
    <r>
      <rPr>
        <sz val="12"/>
        <rFont val="Arial"/>
        <family val="2"/>
      </rPr>
      <t xml:space="preserve"> Cost of Leftover Inventory = </t>
    </r>
  </si>
  <si>
    <t>Min Lot Size</t>
  </si>
  <si>
    <t>Total Exp. Profit</t>
  </si>
  <si>
    <t>Per Period Mean</t>
  </si>
  <si>
    <t>Per Period SD</t>
  </si>
  <si>
    <t>A</t>
  </si>
  <si>
    <t>B</t>
  </si>
  <si>
    <t>outsource discount</t>
  </si>
  <si>
    <t>model A</t>
  </si>
  <si>
    <t>model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</si>
</sst>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00"/>
    <numFmt numFmtId="166" formatCode="0.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rgb="FF006100"/>
      <name val="Calibri"/>
      <family val="2"/>
      <scheme val="minor"/>
    </font>
    <font>
      <b/>
      <sz val="14"/>
      <name val="Arial"/>
      <family val="2"/>
    </font>
    <font>
      <b/>
      <sz val="11"/>
      <color rgb="FF006100"/>
      <name val="Calibri"/>
      <family val="2"/>
      <scheme val="minor"/>
    </font>
    <font>
      <b/>
      <sz val="10"/>
      <name val="Arial"/>
      <family val="2"/>
    </font>
    <font>
      <sz val="12"/>
      <name val="Arial"/>
      <family val="2"/>
    </font>
    <font>
      <b/>
      <i/>
      <sz val="14"/>
      <name val="Arial"/>
      <family val="2"/>
    </font>
    <font>
      <i/>
      <sz val="12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74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5" xfId="0" applyFont="1" applyBorder="1"/>
    <xf numFmtId="164" fontId="3" fillId="0" borderId="5" xfId="1" applyNumberFormat="1" applyFont="1" applyBorder="1"/>
    <xf numFmtId="0" fontId="3" fillId="0" borderId="9" xfId="0" applyFont="1" applyBorder="1"/>
    <xf numFmtId="164" fontId="3" fillId="0" borderId="0" xfId="1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3" fillId="0" borderId="4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/>
    <xf numFmtId="0" fontId="3" fillId="0" borderId="2" xfId="0" applyFont="1" applyBorder="1" applyAlignment="1">
      <alignment horizontal="center" wrapText="1"/>
    </xf>
    <xf numFmtId="3" fontId="3" fillId="0" borderId="0" xfId="0" applyNumberFormat="1" applyFont="1"/>
    <xf numFmtId="0" fontId="4" fillId="2" borderId="2" xfId="2" applyBorder="1" applyAlignment="1">
      <alignment horizontal="center"/>
    </xf>
    <xf numFmtId="0" fontId="4" fillId="2" borderId="2" xfId="2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3" fontId="5" fillId="0" borderId="0" xfId="0" applyNumberFormat="1" applyFont="1"/>
    <xf numFmtId="3" fontId="0" fillId="0" borderId="0" xfId="0" applyNumberFormat="1"/>
    <xf numFmtId="164" fontId="7" fillId="0" borderId="0" xfId="0" applyNumberFormat="1" applyFont="1"/>
    <xf numFmtId="3" fontId="7" fillId="0" borderId="0" xfId="0" applyNumberFormat="1" applyFont="1"/>
    <xf numFmtId="43" fontId="2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3" fontId="8" fillId="0" borderId="0" xfId="0" applyNumberFormat="1" applyFont="1"/>
    <xf numFmtId="0" fontId="2" fillId="0" borderId="0" xfId="0" applyFont="1" applyAlignment="1">
      <alignment horizontal="center"/>
    </xf>
    <xf numFmtId="0" fontId="11" fillId="0" borderId="9" xfId="0" applyFont="1" applyBorder="1"/>
    <xf numFmtId="164" fontId="11" fillId="0" borderId="9" xfId="1" applyNumberFormat="1" applyFont="1" applyBorder="1"/>
    <xf numFmtId="0" fontId="11" fillId="0" borderId="4" xfId="0" applyFont="1" applyBorder="1"/>
    <xf numFmtId="164" fontId="11" fillId="0" borderId="4" xfId="1" applyNumberFormat="1" applyFont="1" applyBorder="1"/>
    <xf numFmtId="0" fontId="11" fillId="0" borderId="2" xfId="0" applyFont="1" applyBorder="1"/>
    <xf numFmtId="0" fontId="6" fillId="2" borderId="10" xfId="2" applyFont="1" applyBorder="1" applyAlignment="1">
      <alignment horizontal="center" wrapText="1"/>
    </xf>
    <xf numFmtId="0" fontId="6" fillId="2" borderId="6" xfId="2" applyFont="1" applyBorder="1" applyAlignment="1">
      <alignment horizontal="center" wrapText="1"/>
    </xf>
    <xf numFmtId="164" fontId="11" fillId="0" borderId="5" xfId="1" applyNumberFormat="1" applyFont="1" applyBorder="1"/>
    <xf numFmtId="164" fontId="11" fillId="0" borderId="2" xfId="1" applyNumberFormat="1" applyFont="1" applyBorder="1"/>
    <xf numFmtId="3" fontId="11" fillId="0" borderId="2" xfId="1" applyNumberFormat="1" applyFont="1" applyBorder="1"/>
    <xf numFmtId="4" fontId="11" fillId="0" borderId="2" xfId="1" applyNumberFormat="1" applyFont="1" applyBorder="1"/>
    <xf numFmtId="165" fontId="11" fillId="0" borderId="2" xfId="1" applyNumberFormat="1" applyFont="1" applyBorder="1"/>
    <xf numFmtId="166" fontId="11" fillId="0" borderId="2" xfId="0" applyNumberFormat="1" applyFont="1" applyBorder="1"/>
    <xf numFmtId="1" fontId="1" fillId="2" borderId="2" xfId="2" applyNumberFormat="1" applyFont="1" applyBorder="1"/>
    <xf numFmtId="3" fontId="11" fillId="0" borderId="2" xfId="0" applyNumberFormat="1" applyFont="1" applyBorder="1"/>
    <xf numFmtId="3" fontId="1" fillId="2" borderId="2" xfId="2" applyNumberFormat="1" applyFont="1" applyBorder="1"/>
    <xf numFmtId="3" fontId="11" fillId="0" borderId="6" xfId="0" applyNumberFormat="1" applyFont="1" applyBorder="1"/>
    <xf numFmtId="164" fontId="12" fillId="2" borderId="10" xfId="2" applyNumberFormat="1" applyFont="1" applyBorder="1"/>
    <xf numFmtId="3" fontId="12" fillId="2" borderId="6" xfId="2" applyNumberFormat="1" applyFont="1" applyBorder="1"/>
    <xf numFmtId="164" fontId="11" fillId="0" borderId="0" xfId="1" applyNumberFormat="1" applyFont="1" applyBorder="1"/>
    <xf numFmtId="3" fontId="11" fillId="0" borderId="0" xfId="1" applyNumberFormat="1" applyFont="1" applyBorder="1"/>
    <xf numFmtId="4" fontId="11" fillId="0" borderId="0" xfId="1" applyNumberFormat="1" applyFont="1" applyBorder="1"/>
    <xf numFmtId="165" fontId="11" fillId="0" borderId="0" xfId="1" applyNumberFormat="1" applyFont="1" applyBorder="1"/>
    <xf numFmtId="0" fontId="11" fillId="0" borderId="0" xfId="0" applyFont="1" applyBorder="1"/>
    <xf numFmtId="166" fontId="11" fillId="0" borderId="0" xfId="0" applyNumberFormat="1" applyFont="1" applyBorder="1"/>
    <xf numFmtId="1" fontId="1" fillId="2" borderId="0" xfId="2" applyNumberFormat="1" applyFont="1" applyBorder="1"/>
    <xf numFmtId="3" fontId="11" fillId="0" borderId="0" xfId="0" applyNumberFormat="1" applyFont="1" applyBorder="1"/>
    <xf numFmtId="3" fontId="1" fillId="2" borderId="0" xfId="2" applyNumberFormat="1" applyFont="1" applyBorder="1"/>
    <xf numFmtId="3" fontId="11" fillId="0" borderId="7" xfId="0" applyNumberFormat="1" applyFont="1" applyBorder="1"/>
    <xf numFmtId="164" fontId="12" fillId="2" borderId="11" xfId="2" applyNumberFormat="1" applyFont="1" applyBorder="1"/>
    <xf numFmtId="3" fontId="12" fillId="2" borderId="7" xfId="2" applyNumberFormat="1" applyFont="1" applyBorder="1"/>
    <xf numFmtId="164" fontId="11" fillId="0" borderId="3" xfId="1" applyNumberFormat="1" applyFont="1" applyBorder="1"/>
    <xf numFmtId="3" fontId="11" fillId="0" borderId="3" xfId="1" applyNumberFormat="1" applyFont="1" applyBorder="1"/>
    <xf numFmtId="4" fontId="11" fillId="0" borderId="3" xfId="1" applyNumberFormat="1" applyFont="1" applyBorder="1"/>
    <xf numFmtId="165" fontId="11" fillId="0" borderId="3" xfId="1" applyNumberFormat="1" applyFont="1" applyBorder="1"/>
    <xf numFmtId="0" fontId="11" fillId="0" borderId="3" xfId="0" applyFont="1" applyBorder="1"/>
    <xf numFmtId="166" fontId="11" fillId="0" borderId="3" xfId="0" applyNumberFormat="1" applyFont="1" applyBorder="1"/>
    <xf numFmtId="1" fontId="1" fillId="2" borderId="3" xfId="2" applyNumberFormat="1" applyFont="1" applyBorder="1"/>
    <xf numFmtId="3" fontId="11" fillId="0" borderId="3" xfId="0" applyNumberFormat="1" applyFont="1" applyBorder="1"/>
    <xf numFmtId="3" fontId="1" fillId="2" borderId="3" xfId="2" applyNumberFormat="1" applyFont="1" applyBorder="1"/>
    <xf numFmtId="3" fontId="11" fillId="0" borderId="8" xfId="0" applyNumberFormat="1" applyFont="1" applyBorder="1"/>
    <xf numFmtId="164" fontId="12" fillId="2" borderId="12" xfId="2" applyNumberFormat="1" applyFont="1" applyBorder="1"/>
    <xf numFmtId="3" fontId="12" fillId="2" borderId="8" xfId="2" applyNumberFormat="1" applyFont="1" applyBorder="1"/>
    <xf numFmtId="0" fontId="3" fillId="0" borderId="0" xfId="0" applyFont="1" applyFill="1" applyBorder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'Single Order'!$B$33</c:f>
              <c:strCache>
                <c:ptCount val="1"/>
                <c:pt idx="0">
                  <c:v>Total Exp. 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 Order'!$A$34:$A$39</c:f>
              <c:numCache>
                <c:formatCode>General</c:formatCode>
                <c:ptCount val="6"/>
                <c:pt idx="0">
                  <c:v>4000</c:v>
                </c:pt>
                <c:pt idx="1">
                  <c:v>3000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</c:numCache>
            </c:numRef>
          </c:xVal>
          <c:yVal>
            <c:numRef>
              <c:f>'Single Order'!$B$34:$B$39</c:f>
              <c:numCache>
                <c:formatCode>#,##0</c:formatCode>
                <c:ptCount val="6"/>
                <c:pt idx="0">
                  <c:v>7969034.9104463365</c:v>
                </c:pt>
                <c:pt idx="1">
                  <c:v>8484712.9175841808</c:v>
                </c:pt>
                <c:pt idx="2">
                  <c:v>8751125.0957003366</c:v>
                </c:pt>
                <c:pt idx="3">
                  <c:v>8766515.8169534579</c:v>
                </c:pt>
                <c:pt idx="4">
                  <c:v>8766515.8169534579</c:v>
                </c:pt>
                <c:pt idx="5">
                  <c:v>8766515.8169534579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A-B049-A91B-699E0654C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36696"/>
        <c:axId val="416037088"/>
      </c:scatterChart>
      <c:valAx>
        <c:axId val="41603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 Lot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37088"/>
        <c:crosses val="autoZero"/>
        <c:crossBetween val="midCat"/>
      </c:valAx>
      <c:valAx>
        <c:axId val="4160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Expected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3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26276</xdr:colOff>
      <xdr:row>31</xdr:row>
      <xdr:rowOff>155684</xdr:rowOff>
    </xdr:from>
    <xdr:to>
      <xdr:col>14</xdr:col>
      <xdr:colOff>578069</xdr:colOff>
      <xdr:row>51</xdr:row>
      <xdr:rowOff>39413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zoomScale="145" zoomScaleNormal="145" workbookViewId="0">
      <selection sqref="A1:R3"/>
    </sheetView>
  </sheetViews>
  <sheetFormatPr baseColWidth="10" defaultColWidth="8.83203125" defaultRowHeight="13" x14ac:dyDescent="0.15"/>
  <cols>
    <col min="1" max="1" width="41.6640625" bestFit="1" customWidth="1"/>
    <col min="2" max="2" width="13.83203125" bestFit="1" customWidth="1"/>
    <col min="3" max="5" width="7.33203125" customWidth="1"/>
    <col min="6" max="6" width="10.83203125" bestFit="1" customWidth="1"/>
    <col min="7" max="7" width="10.1640625" bestFit="1" customWidth="1"/>
    <col min="8" max="9" width="7.33203125" customWidth="1"/>
    <col min="10" max="11" width="6" customWidth="1"/>
    <col min="12" max="12" width="6.5" customWidth="1"/>
    <col min="13" max="14" width="7.5" customWidth="1"/>
    <col min="15" max="15" width="13.83203125" bestFit="1" customWidth="1"/>
    <col min="16" max="16" width="14.6640625" bestFit="1" customWidth="1"/>
    <col min="17" max="17" width="11" bestFit="1" customWidth="1"/>
    <col min="18" max="18" width="13.83203125" bestFit="1" customWidth="1"/>
    <col min="19" max="19" width="10.33203125" bestFit="1" customWidth="1"/>
    <col min="20" max="20" width="9.5" bestFit="1" customWidth="1"/>
  </cols>
  <sheetData>
    <row r="1" spans="1:20" ht="26.25" customHeight="1" thickBot="1" x14ac:dyDescent="0.25">
      <c r="A1" s="4" t="s">
        <v>0</v>
      </c>
      <c r="B1" s="16" t="s">
        <v>21</v>
      </c>
      <c r="C1" s="16" t="s">
        <v>23</v>
      </c>
      <c r="D1" s="5" t="s">
        <v>16</v>
      </c>
      <c r="E1" s="16" t="s">
        <v>18</v>
      </c>
      <c r="F1" s="16" t="s">
        <v>25</v>
      </c>
      <c r="G1" s="16" t="s">
        <v>24</v>
      </c>
      <c r="H1" s="16" t="s">
        <v>26</v>
      </c>
      <c r="I1" s="16" t="s">
        <v>27</v>
      </c>
      <c r="J1" s="5" t="s">
        <v>1</v>
      </c>
      <c r="K1" s="5" t="s">
        <v>2</v>
      </c>
      <c r="L1" s="18" t="s">
        <v>3</v>
      </c>
      <c r="M1" s="16" t="s">
        <v>28</v>
      </c>
      <c r="N1" s="16" t="s">
        <v>29</v>
      </c>
      <c r="O1" s="16" t="s">
        <v>30</v>
      </c>
      <c r="P1" s="19" t="s">
        <v>22</v>
      </c>
      <c r="Q1" s="16" t="s">
        <v>31</v>
      </c>
      <c r="R1" s="20" t="s">
        <v>32</v>
      </c>
    </row>
    <row r="2" spans="1:20" ht="15" x14ac:dyDescent="0.2">
      <c r="A2" s="6" t="s">
        <v>4</v>
      </c>
      <c r="B2" s="37">
        <v>1400</v>
      </c>
      <c r="C2" s="37">
        <f>B2/1.3</f>
        <v>1076.9230769230769</v>
      </c>
      <c r="D2" s="37">
        <f t="shared" ref="D2:D11" si="0">B2/1.3-$B$16</f>
        <v>1026.9230769230769</v>
      </c>
      <c r="E2" s="39">
        <f t="shared" ref="E2:E11" si="1">C2*0.9</f>
        <v>969.23076923076928</v>
      </c>
      <c r="F2" s="39">
        <f>B2-D2</f>
        <v>373.07692307692309</v>
      </c>
      <c r="G2" s="39">
        <f>D2-E2</f>
        <v>57.692307692307622</v>
      </c>
      <c r="H2" s="40">
        <f>F2/(F2+G2)</f>
        <v>0.86607142857142871</v>
      </c>
      <c r="I2" s="40">
        <f>NORMSINV(H2)</f>
        <v>1.1080108204698573</v>
      </c>
      <c r="J2" s="34">
        <v>3680</v>
      </c>
      <c r="K2" s="34">
        <v>2097</v>
      </c>
      <c r="L2" s="45">
        <f>MAX(J2+I2*K2,$B$15)</f>
        <v>6003.4986905252908</v>
      </c>
      <c r="M2" s="44">
        <f>K2*(NORMDIST((L2-J2)/K2,0,1,0)-(L2-J2)/K2*(1-NORMSDIST((L2-J2)/K2)))</f>
        <v>141.63071556508729</v>
      </c>
      <c r="N2" s="44">
        <f t="shared" ref="N2:N11" si="2">J2-M2</f>
        <v>3538.3692844349125</v>
      </c>
      <c r="O2" s="44">
        <f t="shared" ref="O2:O11" si="3">L2-N2</f>
        <v>2465.1294060903783</v>
      </c>
      <c r="P2" s="45">
        <f t="shared" ref="P2:P11" si="4">F2*N2-G2*O2</f>
        <v>1177864.9211493498</v>
      </c>
      <c r="Q2" s="44">
        <f t="shared" ref="Q2:Q11" si="5">F2*M2</f>
        <v>52839.151576205644</v>
      </c>
      <c r="R2" s="46">
        <f t="shared" ref="R2:R11" si="6">G2*O2</f>
        <v>142219.00419752166</v>
      </c>
      <c r="S2" s="3"/>
    </row>
    <row r="3" spans="1:20" ht="15" x14ac:dyDescent="0.2">
      <c r="A3" s="8" t="s">
        <v>5</v>
      </c>
      <c r="B3" s="31">
        <v>1300</v>
      </c>
      <c r="C3" s="31">
        <f>B3/1.3</f>
        <v>1000</v>
      </c>
      <c r="D3" s="31">
        <f t="shared" si="0"/>
        <v>950</v>
      </c>
      <c r="E3" s="50">
        <f t="shared" si="1"/>
        <v>900</v>
      </c>
      <c r="F3" s="50">
        <f t="shared" ref="F3:F11" si="7">B3-D3</f>
        <v>350</v>
      </c>
      <c r="G3" s="50">
        <f>D3-E3</f>
        <v>50</v>
      </c>
      <c r="H3" s="51">
        <f>F3/(F3+G3)</f>
        <v>0.875</v>
      </c>
      <c r="I3" s="51">
        <f>NORMSINV(H3)</f>
        <v>1.1503493803760083</v>
      </c>
      <c r="J3" s="53">
        <v>3551</v>
      </c>
      <c r="K3" s="53">
        <v>2276</v>
      </c>
      <c r="L3" s="57">
        <f>MAX(J3+I3*K3,$B$15)</f>
        <v>6169.1951897357949</v>
      </c>
      <c r="M3" s="56">
        <f t="shared" ref="M2:M11" si="8">K3*(NORMDIST((L3-J3)/K3,0,1,0)-(L3-J3)/K3*(1-NORMSDIST((L3-J3)/K3)))</f>
        <v>141.24823595368639</v>
      </c>
      <c r="N3" s="56">
        <f t="shared" si="2"/>
        <v>3409.7517640463138</v>
      </c>
      <c r="O3" s="56">
        <f t="shared" si="3"/>
        <v>2759.443425689481</v>
      </c>
      <c r="P3" s="57">
        <f t="shared" si="4"/>
        <v>1055440.9461317358</v>
      </c>
      <c r="Q3" s="56">
        <f t="shared" si="5"/>
        <v>49436.882583790233</v>
      </c>
      <c r="R3" s="58">
        <f t="shared" si="6"/>
        <v>137972.17128447405</v>
      </c>
      <c r="S3" s="3"/>
    </row>
    <row r="4" spans="1:20" ht="15" x14ac:dyDescent="0.2">
      <c r="A4" s="8" t="s">
        <v>6</v>
      </c>
      <c r="B4" s="31">
        <v>2000</v>
      </c>
      <c r="C4" s="31">
        <f t="shared" ref="C4:C10" si="9">B4/1.3</f>
        <v>1538.4615384615383</v>
      </c>
      <c r="D4" s="31">
        <f t="shared" si="0"/>
        <v>1488.4615384615383</v>
      </c>
      <c r="E4" s="50">
        <f t="shared" si="1"/>
        <v>1384.6153846153845</v>
      </c>
      <c r="F4" s="50">
        <f t="shared" si="7"/>
        <v>511.53846153846166</v>
      </c>
      <c r="G4" s="50">
        <f t="shared" ref="G4:G10" si="10">D4-E4</f>
        <v>103.84615384615381</v>
      </c>
      <c r="H4" s="51">
        <f t="shared" ref="H4:H10" si="11">F4/(F4+G4)</f>
        <v>0.83125000000000004</v>
      </c>
      <c r="I4" s="51">
        <f t="shared" ref="I4:I10" si="12">NORMSINV(H4)</f>
        <v>0.95911661722760133</v>
      </c>
      <c r="J4" s="53">
        <v>1457</v>
      </c>
      <c r="K4" s="53">
        <v>775</v>
      </c>
      <c r="L4" s="57">
        <f t="shared" ref="L4:L10" si="13">MAX(J4+I4*K4,$B$15)</f>
        <v>2200.3153783513908</v>
      </c>
      <c r="M4" s="56">
        <f t="shared" si="8"/>
        <v>69.755278160789885</v>
      </c>
      <c r="N4" s="56">
        <f t="shared" si="2"/>
        <v>1387.2447218392101</v>
      </c>
      <c r="O4" s="56">
        <f t="shared" si="3"/>
        <v>813.07065651218068</v>
      </c>
      <c r="P4" s="57">
        <f t="shared" si="4"/>
        <v>625194.77030302351</v>
      </c>
      <c r="Q4" s="56">
        <f t="shared" si="5"/>
        <v>35682.507674557914</v>
      </c>
      <c r="R4" s="58">
        <f t="shared" si="6"/>
        <v>84434.260483957201</v>
      </c>
      <c r="S4" s="3"/>
    </row>
    <row r="5" spans="1:20" ht="15" x14ac:dyDescent="0.2">
      <c r="A5" s="8" t="s">
        <v>7</v>
      </c>
      <c r="B5" s="31">
        <v>2000</v>
      </c>
      <c r="C5" s="31">
        <f t="shared" si="9"/>
        <v>1538.4615384615383</v>
      </c>
      <c r="D5" s="31">
        <f t="shared" si="0"/>
        <v>1488.4615384615383</v>
      </c>
      <c r="E5" s="50">
        <f t="shared" si="1"/>
        <v>1384.6153846153845</v>
      </c>
      <c r="F5" s="50">
        <f t="shared" si="7"/>
        <v>511.53846153846166</v>
      </c>
      <c r="G5" s="50">
        <f t="shared" si="10"/>
        <v>103.84615384615381</v>
      </c>
      <c r="H5" s="51">
        <f t="shared" si="11"/>
        <v>0.83125000000000004</v>
      </c>
      <c r="I5" s="51">
        <f t="shared" si="12"/>
        <v>0.95911661722760133</v>
      </c>
      <c r="J5" s="53">
        <v>1065</v>
      </c>
      <c r="K5" s="53">
        <v>610</v>
      </c>
      <c r="L5" s="57">
        <f t="shared" si="13"/>
        <v>2000</v>
      </c>
      <c r="M5" s="56">
        <f t="shared" si="8"/>
        <v>16.582773593658018</v>
      </c>
      <c r="N5" s="56">
        <f t="shared" si="2"/>
        <v>1048.417226406342</v>
      </c>
      <c r="O5" s="56">
        <f t="shared" si="3"/>
        <v>951.58277359365798</v>
      </c>
      <c r="P5" s="57">
        <f t="shared" si="4"/>
        <v>437487.52394236455</v>
      </c>
      <c r="Q5" s="56">
        <f t="shared" si="5"/>
        <v>8482.7264921404494</v>
      </c>
      <c r="R5" s="58">
        <f t="shared" si="6"/>
        <v>98818.211103956754</v>
      </c>
      <c r="S5" s="3"/>
    </row>
    <row r="6" spans="1:20" ht="15" x14ac:dyDescent="0.2">
      <c r="A6" s="8" t="s">
        <v>8</v>
      </c>
      <c r="B6" s="31">
        <v>1500</v>
      </c>
      <c r="C6" s="31">
        <f t="shared" si="9"/>
        <v>1153.8461538461538</v>
      </c>
      <c r="D6" s="31">
        <f t="shared" si="0"/>
        <v>1103.8461538461538</v>
      </c>
      <c r="E6" s="50">
        <f t="shared" si="1"/>
        <v>1038.4615384615386</v>
      </c>
      <c r="F6" s="50">
        <f t="shared" si="7"/>
        <v>396.15384615384619</v>
      </c>
      <c r="G6" s="50">
        <f t="shared" si="10"/>
        <v>65.384615384615245</v>
      </c>
      <c r="H6" s="51">
        <f t="shared" si="11"/>
        <v>0.85833333333333361</v>
      </c>
      <c r="I6" s="51">
        <f t="shared" si="12"/>
        <v>1.0728613416500046</v>
      </c>
      <c r="J6" s="53">
        <v>3441</v>
      </c>
      <c r="K6" s="53">
        <v>1115</v>
      </c>
      <c r="L6" s="57">
        <f t="shared" si="13"/>
        <v>4637.2403959397552</v>
      </c>
      <c r="M6" s="56">
        <f t="shared" si="8"/>
        <v>80.706296787016228</v>
      </c>
      <c r="N6" s="56">
        <f t="shared" si="2"/>
        <v>3360.2937032129839</v>
      </c>
      <c r="O6" s="56">
        <f t="shared" si="3"/>
        <v>1276.9466927267713</v>
      </c>
      <c r="P6" s="57">
        <f t="shared" si="4"/>
        <v>1247700.6063637782</v>
      </c>
      <c r="Q6" s="56">
        <f t="shared" si="5"/>
        <v>31972.109881010278</v>
      </c>
      <c r="R6" s="58">
        <f t="shared" si="6"/>
        <v>83492.66837059641</v>
      </c>
      <c r="S6" s="3"/>
    </row>
    <row r="7" spans="1:20" ht="15" x14ac:dyDescent="0.2">
      <c r="A7" s="8" t="s">
        <v>9</v>
      </c>
      <c r="B7" s="31">
        <v>2000</v>
      </c>
      <c r="C7" s="31">
        <f t="shared" si="9"/>
        <v>1538.4615384615383</v>
      </c>
      <c r="D7" s="31">
        <f t="shared" si="0"/>
        <v>1488.4615384615383</v>
      </c>
      <c r="E7" s="50">
        <f t="shared" si="1"/>
        <v>1384.6153846153845</v>
      </c>
      <c r="F7" s="50">
        <f t="shared" si="7"/>
        <v>511.53846153846166</v>
      </c>
      <c r="G7" s="50">
        <f t="shared" si="10"/>
        <v>103.84615384615381</v>
      </c>
      <c r="H7" s="51">
        <f t="shared" si="11"/>
        <v>0.83125000000000004</v>
      </c>
      <c r="I7" s="51">
        <f t="shared" si="12"/>
        <v>0.95911661722760133</v>
      </c>
      <c r="J7" s="53">
        <v>1644</v>
      </c>
      <c r="K7" s="53">
        <v>911</v>
      </c>
      <c r="L7" s="57">
        <f t="shared" si="13"/>
        <v>2517.755238294345</v>
      </c>
      <c r="M7" s="56">
        <f t="shared" si="8"/>
        <v>81.996204392876891</v>
      </c>
      <c r="N7" s="56">
        <f t="shared" si="2"/>
        <v>1562.003795607123</v>
      </c>
      <c r="O7" s="56">
        <f t="shared" si="3"/>
        <v>955.75144268722192</v>
      </c>
      <c r="P7" s="57">
        <f t="shared" si="4"/>
        <v>699773.90716612467</v>
      </c>
      <c r="Q7" s="56">
        <f t="shared" si="5"/>
        <v>41944.212247125499</v>
      </c>
      <c r="R7" s="58">
        <f t="shared" si="6"/>
        <v>99251.111355980698</v>
      </c>
      <c r="S7" s="3"/>
    </row>
    <row r="8" spans="1:20" ht="15" x14ac:dyDescent="0.2">
      <c r="A8" s="8" t="s">
        <v>10</v>
      </c>
      <c r="B8" s="31">
        <v>1600</v>
      </c>
      <c r="C8" s="31">
        <f t="shared" si="9"/>
        <v>1230.7692307692307</v>
      </c>
      <c r="D8" s="31">
        <f t="shared" si="0"/>
        <v>1180.7692307692307</v>
      </c>
      <c r="E8" s="50">
        <f t="shared" si="1"/>
        <v>1107.6923076923076</v>
      </c>
      <c r="F8" s="50">
        <f t="shared" si="7"/>
        <v>419.23076923076928</v>
      </c>
      <c r="G8" s="50">
        <f t="shared" si="10"/>
        <v>73.076923076923094</v>
      </c>
      <c r="H8" s="51">
        <f t="shared" si="11"/>
        <v>0.8515625</v>
      </c>
      <c r="I8" s="51">
        <f t="shared" si="12"/>
        <v>1.043158263318454</v>
      </c>
      <c r="J8" s="53">
        <v>2316</v>
      </c>
      <c r="K8" s="53">
        <v>697</v>
      </c>
      <c r="L8" s="57">
        <f t="shared" si="13"/>
        <v>3043.0813095329622</v>
      </c>
      <c r="M8" s="56">
        <f t="shared" si="8"/>
        <v>53.453136093453466</v>
      </c>
      <c r="N8" s="56">
        <f t="shared" si="2"/>
        <v>2262.5468639065466</v>
      </c>
      <c r="O8" s="56">
        <f t="shared" si="3"/>
        <v>780.53444562641562</v>
      </c>
      <c r="P8" s="57">
        <f t="shared" si="4"/>
        <v>891490.20653427579</v>
      </c>
      <c r="Q8" s="56">
        <f t="shared" si="5"/>
        <v>22409.199362255495</v>
      </c>
      <c r="R8" s="58">
        <f t="shared" si="6"/>
        <v>57039.055641930383</v>
      </c>
      <c r="S8" s="3"/>
    </row>
    <row r="9" spans="1:20" ht="15" x14ac:dyDescent="0.2">
      <c r="A9" s="8" t="s">
        <v>11</v>
      </c>
      <c r="B9" s="31">
        <v>1700</v>
      </c>
      <c r="C9" s="31">
        <f t="shared" si="9"/>
        <v>1307.6923076923076</v>
      </c>
      <c r="D9" s="31">
        <f t="shared" si="0"/>
        <v>1257.6923076923076</v>
      </c>
      <c r="E9" s="50">
        <f t="shared" si="1"/>
        <v>1176.9230769230769</v>
      </c>
      <c r="F9" s="50">
        <f t="shared" si="7"/>
        <v>442.30769230769238</v>
      </c>
      <c r="G9" s="50">
        <f t="shared" si="10"/>
        <v>80.769230769230717</v>
      </c>
      <c r="H9" s="51">
        <f t="shared" si="11"/>
        <v>0.84558823529411775</v>
      </c>
      <c r="I9" s="51">
        <f t="shared" si="12"/>
        <v>1.01769372681932</v>
      </c>
      <c r="J9" s="53">
        <v>1528</v>
      </c>
      <c r="K9" s="53">
        <v>338</v>
      </c>
      <c r="L9" s="57">
        <f t="shared" si="13"/>
        <v>2000</v>
      </c>
      <c r="M9" s="56">
        <f t="shared" si="8"/>
        <v>12.49105970137513</v>
      </c>
      <c r="N9" s="56">
        <f t="shared" si="2"/>
        <v>1515.5089402986248</v>
      </c>
      <c r="O9" s="56">
        <f t="shared" si="3"/>
        <v>484.49105970137521</v>
      </c>
      <c r="P9" s="57">
        <f t="shared" si="4"/>
        <v>631189.29184851155</v>
      </c>
      <c r="Q9" s="56">
        <f t="shared" si="5"/>
        <v>5524.8917909928468</v>
      </c>
      <c r="R9" s="58">
        <f t="shared" si="6"/>
        <v>39131.970206649508</v>
      </c>
      <c r="S9" s="3"/>
    </row>
    <row r="10" spans="1:20" ht="15" x14ac:dyDescent="0.2">
      <c r="A10" s="8" t="s">
        <v>12</v>
      </c>
      <c r="B10" s="31">
        <v>2000</v>
      </c>
      <c r="C10" s="31">
        <f t="shared" si="9"/>
        <v>1538.4615384615383</v>
      </c>
      <c r="D10" s="31">
        <f t="shared" si="0"/>
        <v>1488.4615384615383</v>
      </c>
      <c r="E10" s="50">
        <f t="shared" si="1"/>
        <v>1384.6153846153845</v>
      </c>
      <c r="F10" s="50">
        <f t="shared" si="7"/>
        <v>511.53846153846166</v>
      </c>
      <c r="G10" s="50">
        <f t="shared" si="10"/>
        <v>103.84615384615381</v>
      </c>
      <c r="H10" s="51">
        <f t="shared" si="11"/>
        <v>0.83125000000000004</v>
      </c>
      <c r="I10" s="51">
        <f t="shared" si="12"/>
        <v>0.95911661722760133</v>
      </c>
      <c r="J10" s="53">
        <v>1569</v>
      </c>
      <c r="K10" s="53">
        <v>747</v>
      </c>
      <c r="L10" s="57">
        <f t="shared" si="13"/>
        <v>2285.460113069018</v>
      </c>
      <c r="M10" s="56">
        <f t="shared" si="8"/>
        <v>67.235087465948453</v>
      </c>
      <c r="N10" s="56">
        <f t="shared" si="2"/>
        <v>1501.7649125340515</v>
      </c>
      <c r="O10" s="56">
        <f t="shared" si="3"/>
        <v>783.69520053496649</v>
      </c>
      <c r="P10" s="57">
        <f t="shared" si="4"/>
        <v>686826.78058686468</v>
      </c>
      <c r="Q10" s="56">
        <f t="shared" si="5"/>
        <v>34393.333203735179</v>
      </c>
      <c r="R10" s="58">
        <f t="shared" si="6"/>
        <v>81383.732363246498</v>
      </c>
      <c r="S10" s="3"/>
    </row>
    <row r="11" spans="1:20" ht="16" thickBot="1" x14ac:dyDescent="0.25">
      <c r="A11" s="12" t="s">
        <v>13</v>
      </c>
      <c r="B11" s="33">
        <v>1500</v>
      </c>
      <c r="C11" s="33">
        <f>B11/1.3</f>
        <v>1153.8461538461538</v>
      </c>
      <c r="D11" s="33">
        <f t="shared" si="0"/>
        <v>1103.8461538461538</v>
      </c>
      <c r="E11" s="62">
        <f t="shared" si="1"/>
        <v>1038.4615384615386</v>
      </c>
      <c r="F11" s="62">
        <f t="shared" si="7"/>
        <v>396.15384615384619</v>
      </c>
      <c r="G11" s="62">
        <f>D11-E11</f>
        <v>65.384615384615245</v>
      </c>
      <c r="H11" s="63">
        <f>F11/(F11+G11)</f>
        <v>0.85833333333333361</v>
      </c>
      <c r="I11" s="63">
        <f>NORMSINV(H11)</f>
        <v>1.0728613416500046</v>
      </c>
      <c r="J11" s="65">
        <v>3795</v>
      </c>
      <c r="K11" s="65">
        <v>1982</v>
      </c>
      <c r="L11" s="69">
        <f>MAX(J11+I11*K11,$B$15)</f>
        <v>5921.4111791503092</v>
      </c>
      <c r="M11" s="68">
        <f t="shared" si="8"/>
        <v>143.46177599270507</v>
      </c>
      <c r="N11" s="68">
        <f t="shared" si="2"/>
        <v>3651.538224007295</v>
      </c>
      <c r="O11" s="68">
        <f t="shared" si="3"/>
        <v>2269.8729551430142</v>
      </c>
      <c r="P11" s="69">
        <f t="shared" si="4"/>
        <v>1298156.1416743088</v>
      </c>
      <c r="Q11" s="68">
        <f t="shared" si="5"/>
        <v>56832.934335571626</v>
      </c>
      <c r="R11" s="70">
        <f t="shared" si="6"/>
        <v>148414.77014396599</v>
      </c>
      <c r="S11" s="3"/>
    </row>
    <row r="12" spans="1:20" x14ac:dyDescent="0.15">
      <c r="A12" s="13"/>
      <c r="B12" s="13"/>
      <c r="C12" s="13"/>
      <c r="D12" s="13"/>
      <c r="E12" s="13"/>
      <c r="F12" s="13"/>
      <c r="G12" s="13"/>
      <c r="H12" s="13"/>
      <c r="I12" s="13"/>
      <c r="K12" s="13"/>
      <c r="L12" s="13"/>
      <c r="M12" s="13"/>
      <c r="N12" s="13"/>
      <c r="O12" s="13"/>
      <c r="P12" s="13"/>
      <c r="Q12" s="13"/>
      <c r="R12" s="13"/>
    </row>
    <row r="13" spans="1:20" x14ac:dyDescent="0.15">
      <c r="A13" s="13"/>
      <c r="B13" s="13"/>
      <c r="C13" s="13"/>
      <c r="D13" s="13"/>
      <c r="E13" s="13"/>
      <c r="F13" s="13"/>
      <c r="G13" s="13"/>
      <c r="H13" s="13"/>
      <c r="I13" s="13"/>
      <c r="K13" s="13"/>
      <c r="L13" s="13"/>
      <c r="M13" s="13"/>
      <c r="N13" s="13"/>
      <c r="O13" s="13"/>
      <c r="Q13" s="13"/>
      <c r="R13" s="13"/>
    </row>
    <row r="14" spans="1:20" x14ac:dyDescent="0.15">
      <c r="A14" s="13"/>
      <c r="B14" s="13"/>
      <c r="C14" s="13"/>
      <c r="D14" s="13"/>
      <c r="E14" s="13"/>
      <c r="F14" s="13"/>
      <c r="G14" s="13"/>
      <c r="H14" s="13"/>
      <c r="I14" s="13"/>
      <c r="J14" s="13">
        <f>SUM(J2:J11)</f>
        <v>24046</v>
      </c>
      <c r="K14" s="13"/>
      <c r="L14" s="17">
        <f>SUM(L2:L11)</f>
        <v>36777.957494598864</v>
      </c>
      <c r="M14" s="13"/>
      <c r="N14" s="13"/>
      <c r="O14" s="13"/>
      <c r="P14" s="17">
        <f>SUM(P2:P11)</f>
        <v>8751125.0957003366</v>
      </c>
      <c r="Q14" s="17">
        <f>SUM(Q2:Q11)</f>
        <v>339517.9491473852</v>
      </c>
      <c r="R14" s="17">
        <f>SUM(R2:R11)</f>
        <v>972156.95515227912</v>
      </c>
      <c r="T14" s="22"/>
    </row>
    <row r="15" spans="1:20" x14ac:dyDescent="0.15">
      <c r="A15" s="13" t="s">
        <v>14</v>
      </c>
      <c r="B15" s="13">
        <v>2000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20" x14ac:dyDescent="0.15">
      <c r="A16" s="13" t="s">
        <v>17</v>
      </c>
      <c r="B16" s="13">
        <v>50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20" x14ac:dyDescent="0.15">
      <c r="T17" s="22"/>
    </row>
    <row r="18" spans="1:20" ht="18" x14ac:dyDescent="0.2">
      <c r="A18" s="26" t="s">
        <v>42</v>
      </c>
      <c r="B18" s="21">
        <f>P14</f>
        <v>8751125.0957003366</v>
      </c>
    </row>
    <row r="19" spans="1:20" ht="16" x14ac:dyDescent="0.2">
      <c r="A19" s="27" t="s">
        <v>43</v>
      </c>
      <c r="B19" s="22">
        <f>Q14</f>
        <v>339517.9491473852</v>
      </c>
      <c r="T19" s="22"/>
    </row>
    <row r="20" spans="1:20" ht="16" x14ac:dyDescent="0.2">
      <c r="A20" s="27" t="s">
        <v>44</v>
      </c>
      <c r="B20" s="22">
        <f>R14</f>
        <v>972156.95515227912</v>
      </c>
    </row>
    <row r="33" spans="1:2" x14ac:dyDescent="0.15">
      <c r="A33" s="29" t="s">
        <v>45</v>
      </c>
      <c r="B33" s="15" t="s">
        <v>46</v>
      </c>
    </row>
    <row r="34" spans="1:2" ht="16" x14ac:dyDescent="0.2">
      <c r="A34">
        <v>4000</v>
      </c>
      <c r="B34" s="28">
        <v>7969034.9104463365</v>
      </c>
    </row>
    <row r="35" spans="1:2" ht="16" x14ac:dyDescent="0.2">
      <c r="A35">
        <v>3000</v>
      </c>
      <c r="B35" s="28">
        <v>8484712.9175841808</v>
      </c>
    </row>
    <row r="36" spans="1:2" ht="16" x14ac:dyDescent="0.2">
      <c r="A36">
        <v>2000</v>
      </c>
      <c r="B36" s="28">
        <v>8751125.0957003366</v>
      </c>
    </row>
    <row r="37" spans="1:2" ht="16" x14ac:dyDescent="0.2">
      <c r="A37">
        <v>1500</v>
      </c>
      <c r="B37" s="28">
        <v>8766515.8169534579</v>
      </c>
    </row>
    <row r="38" spans="1:2" ht="16" x14ac:dyDescent="0.2">
      <c r="A38">
        <v>1000</v>
      </c>
      <c r="B38" s="28">
        <v>8766515.8169534579</v>
      </c>
    </row>
    <row r="39" spans="1:2" ht="16" x14ac:dyDescent="0.2">
      <c r="A39">
        <v>500</v>
      </c>
      <c r="B39" s="28">
        <v>8766515.8169534579</v>
      </c>
    </row>
  </sheetData>
  <phoneticPr fontId="3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6"/>
  <sheetViews>
    <sheetView topLeftCell="A4" zoomScale="145" zoomScaleNormal="145" workbookViewId="0">
      <selection activeCell="D26" sqref="D26"/>
    </sheetView>
  </sheetViews>
  <sheetFormatPr baseColWidth="10" defaultColWidth="8.83203125" defaultRowHeight="13" x14ac:dyDescent="0.15"/>
  <cols>
    <col min="1" max="1" width="19.33203125" bestFit="1" customWidth="1"/>
    <col min="2" max="2" width="11.6640625" bestFit="1" customWidth="1"/>
    <col min="3" max="3" width="5.83203125" customWidth="1"/>
    <col min="4" max="4" width="6.6640625" customWidth="1"/>
    <col min="5" max="5" width="10.5" customWidth="1"/>
    <col min="6" max="6" width="9" customWidth="1"/>
    <col min="7" max="8" width="6.6640625" customWidth="1"/>
    <col min="9" max="9" width="6" customWidth="1"/>
    <col min="10" max="10" width="8" customWidth="1"/>
    <col min="11" max="11" width="4.5" customWidth="1"/>
    <col min="12" max="12" width="7.83203125" customWidth="1"/>
    <col min="13" max="13" width="10.33203125" bestFit="1" customWidth="1"/>
    <col min="14" max="14" width="13.6640625" customWidth="1"/>
    <col min="15" max="15" width="11.6640625" customWidth="1"/>
    <col min="16" max="16" width="12.33203125" customWidth="1"/>
    <col min="17" max="17" width="13.6640625" customWidth="1"/>
    <col min="18" max="18" width="11" bestFit="1" customWidth="1"/>
    <col min="19" max="19" width="12.5" customWidth="1"/>
    <col min="20" max="20" width="16.5" customWidth="1"/>
    <col min="21" max="21" width="17.1640625" customWidth="1"/>
  </cols>
  <sheetData>
    <row r="1" spans="1:21" ht="51.75" customHeight="1" thickBot="1" x14ac:dyDescent="0.25">
      <c r="A1" s="4" t="s">
        <v>0</v>
      </c>
      <c r="B1" s="5" t="s">
        <v>15</v>
      </c>
      <c r="C1" s="5" t="s">
        <v>16</v>
      </c>
      <c r="D1" s="16" t="s">
        <v>18</v>
      </c>
      <c r="E1" s="16" t="s">
        <v>25</v>
      </c>
      <c r="F1" s="16" t="s">
        <v>24</v>
      </c>
      <c r="G1" s="16" t="s">
        <v>26</v>
      </c>
      <c r="H1" s="16" t="s">
        <v>27</v>
      </c>
      <c r="I1" s="5" t="s">
        <v>1</v>
      </c>
      <c r="J1" s="16" t="s">
        <v>47</v>
      </c>
      <c r="K1" s="5" t="s">
        <v>2</v>
      </c>
      <c r="L1" s="16" t="s">
        <v>48</v>
      </c>
      <c r="M1" s="19" t="s">
        <v>33</v>
      </c>
      <c r="N1" s="16" t="s">
        <v>34</v>
      </c>
      <c r="O1" s="16" t="s">
        <v>35</v>
      </c>
      <c r="P1" s="16" t="s">
        <v>36</v>
      </c>
      <c r="Q1" s="19" t="s">
        <v>37</v>
      </c>
      <c r="R1" s="16" t="s">
        <v>38</v>
      </c>
      <c r="S1" s="20" t="s">
        <v>39</v>
      </c>
      <c r="T1" s="35" t="s">
        <v>40</v>
      </c>
      <c r="U1" s="36" t="s">
        <v>41</v>
      </c>
    </row>
    <row r="2" spans="1:21" ht="15" x14ac:dyDescent="0.2">
      <c r="A2" s="6" t="s">
        <v>4</v>
      </c>
      <c r="B2" s="7">
        <v>1400</v>
      </c>
      <c r="C2" s="37">
        <f>B2/1.3</f>
        <v>1076.9230769230769</v>
      </c>
      <c r="D2" s="38">
        <f>0.9*C2</f>
        <v>969.23076923076928</v>
      </c>
      <c r="E2" s="39">
        <f>B2-C2</f>
        <v>323.07692307692309</v>
      </c>
      <c r="F2" s="39">
        <f>C2-D2</f>
        <v>107.69230769230762</v>
      </c>
      <c r="G2" s="40">
        <f>E2/(E2+F2)</f>
        <v>0.75000000000000011</v>
      </c>
      <c r="H2" s="41">
        <f>NORMSINV(G2)</f>
        <v>0.67448975019608215</v>
      </c>
      <c r="I2" s="34">
        <v>3680</v>
      </c>
      <c r="J2" s="34">
        <f>I2/$B$16</f>
        <v>1840</v>
      </c>
      <c r="K2" s="34">
        <v>2097</v>
      </c>
      <c r="L2" s="42">
        <f>K2/SQRT($B$16)</f>
        <v>1482.80292014819</v>
      </c>
      <c r="M2" s="43">
        <f>J2+H2*L2</f>
        <v>2840.135371200774</v>
      </c>
      <c r="N2" s="44">
        <f t="shared" ref="N2:N11" si="0">L2*(NORMDIST((M2-J2)/L2,0,1,0)-(M2-J2)/L2*(1-NORMSDIST((M2-J2)/L2)))</f>
        <v>221.16618713048391</v>
      </c>
      <c r="O2" s="44">
        <f t="shared" ref="O2:O11" si="1">J2-N2</f>
        <v>1618.8338128695161</v>
      </c>
      <c r="P2" s="44">
        <f t="shared" ref="P2:P11" si="2">M2-O2</f>
        <v>1221.3015583312579</v>
      </c>
      <c r="Q2" s="45">
        <f t="shared" ref="Q2:Q11" si="3">E2*O2-F2*P2</f>
        <v>391483.06402986217</v>
      </c>
      <c r="R2" s="44">
        <f t="shared" ref="R2:R11" si="4">E2*N2</f>
        <v>71453.691226771727</v>
      </c>
      <c r="S2" s="46">
        <f t="shared" ref="S2:S11" si="5">F2*P2</f>
        <v>131524.78320490461</v>
      </c>
      <c r="T2" s="47">
        <f>Q2+R2+S2</f>
        <v>594461.5384615385</v>
      </c>
      <c r="U2" s="48">
        <f>Q2</f>
        <v>391483.06402986217</v>
      </c>
    </row>
    <row r="3" spans="1:21" ht="15" x14ac:dyDescent="0.2">
      <c r="A3" s="30" t="s">
        <v>5</v>
      </c>
      <c r="B3" s="31">
        <v>1300</v>
      </c>
      <c r="C3" s="31">
        <f t="shared" ref="C3:C11" si="6">B3/1.3-$B$15</f>
        <v>1000</v>
      </c>
      <c r="D3" s="49">
        <f t="shared" ref="D3:D11" si="7">0.9*C3</f>
        <v>900</v>
      </c>
      <c r="E3" s="50">
        <f t="shared" ref="E3:E9" si="8">B3-C3</f>
        <v>300</v>
      </c>
      <c r="F3" s="50">
        <f t="shared" ref="F3:F9" si="9">C3-D3</f>
        <v>100</v>
      </c>
      <c r="G3" s="51">
        <f t="shared" ref="G3:G10" si="10">E3/(E3+F3)</f>
        <v>0.75</v>
      </c>
      <c r="H3" s="52">
        <f t="shared" ref="H3:H10" si="11">NORMSINV(G3)</f>
        <v>0.67448975019608193</v>
      </c>
      <c r="I3" s="53">
        <v>3551</v>
      </c>
      <c r="J3" s="53">
        <f t="shared" ref="J3:J11" si="12">I3/$B$16</f>
        <v>1775.5</v>
      </c>
      <c r="K3" s="53">
        <v>2276</v>
      </c>
      <c r="L3" s="54">
        <f t="shared" ref="L3:L11" si="13">K3/SQRT($B$16)</f>
        <v>1609.375033980582</v>
      </c>
      <c r="M3" s="55">
        <f t="shared" ref="M3:M10" si="14">J3+H3*L3</f>
        <v>2861.0069646413735</v>
      </c>
      <c r="N3" s="56">
        <f t="shared" si="0"/>
        <v>240.04494130137419</v>
      </c>
      <c r="O3" s="56">
        <f t="shared" si="1"/>
        <v>1535.4550586986259</v>
      </c>
      <c r="P3" s="56">
        <f t="shared" si="2"/>
        <v>1325.5519059427477</v>
      </c>
      <c r="Q3" s="57">
        <f t="shared" si="3"/>
        <v>328081.32701531297</v>
      </c>
      <c r="R3" s="56">
        <f t="shared" si="4"/>
        <v>72013.48239041226</v>
      </c>
      <c r="S3" s="58">
        <f t="shared" si="5"/>
        <v>132555.19059427475</v>
      </c>
      <c r="T3" s="59">
        <f t="shared" ref="T3:T11" si="15">Q3+R3+S3</f>
        <v>532650</v>
      </c>
      <c r="U3" s="60">
        <f t="shared" ref="U3:U11" si="16">Q3</f>
        <v>328081.32701531297</v>
      </c>
    </row>
    <row r="4" spans="1:21" ht="15" x14ac:dyDescent="0.2">
      <c r="A4" s="30" t="s">
        <v>6</v>
      </c>
      <c r="B4" s="31">
        <v>2000</v>
      </c>
      <c r="C4" s="31">
        <f t="shared" si="6"/>
        <v>1538.4615384615383</v>
      </c>
      <c r="D4" s="49">
        <f t="shared" si="7"/>
        <v>1384.6153846153845</v>
      </c>
      <c r="E4" s="50">
        <f t="shared" si="8"/>
        <v>461.53846153846166</v>
      </c>
      <c r="F4" s="50">
        <f t="shared" si="9"/>
        <v>153.84615384615381</v>
      </c>
      <c r="G4" s="51">
        <f t="shared" si="10"/>
        <v>0.75000000000000011</v>
      </c>
      <c r="H4" s="52">
        <f t="shared" si="11"/>
        <v>0.67448975019608215</v>
      </c>
      <c r="I4" s="53">
        <v>1457</v>
      </c>
      <c r="J4" s="53">
        <f t="shared" si="12"/>
        <v>728.5</v>
      </c>
      <c r="K4" s="53">
        <v>775</v>
      </c>
      <c r="L4" s="54">
        <f t="shared" si="13"/>
        <v>548.00775541957432</v>
      </c>
      <c r="M4" s="55">
        <f t="shared" si="14"/>
        <v>1098.1256140584644</v>
      </c>
      <c r="N4" s="56">
        <f t="shared" si="0"/>
        <v>81.737622806926581</v>
      </c>
      <c r="O4" s="56">
        <f t="shared" si="1"/>
        <v>646.76237719307346</v>
      </c>
      <c r="P4" s="56">
        <f t="shared" si="2"/>
        <v>451.36323686539095</v>
      </c>
      <c r="Q4" s="57">
        <f t="shared" si="3"/>
        <v>229065.21457135846</v>
      </c>
      <c r="R4" s="56">
        <f t="shared" si="4"/>
        <v>37725.056680119967</v>
      </c>
      <c r="S4" s="58">
        <f t="shared" si="5"/>
        <v>69440.4979792909</v>
      </c>
      <c r="T4" s="59">
        <f t="shared" si="15"/>
        <v>336230.76923076931</v>
      </c>
      <c r="U4" s="60">
        <f t="shared" si="16"/>
        <v>229065.21457135846</v>
      </c>
    </row>
    <row r="5" spans="1:21" ht="15" x14ac:dyDescent="0.2">
      <c r="A5" s="30" t="s">
        <v>7</v>
      </c>
      <c r="B5" s="31">
        <v>2000</v>
      </c>
      <c r="C5" s="31">
        <f t="shared" si="6"/>
        <v>1538.4615384615383</v>
      </c>
      <c r="D5" s="49">
        <f t="shared" si="7"/>
        <v>1384.6153846153845</v>
      </c>
      <c r="E5" s="50">
        <f t="shared" si="8"/>
        <v>461.53846153846166</v>
      </c>
      <c r="F5" s="50">
        <f t="shared" si="9"/>
        <v>153.84615384615381</v>
      </c>
      <c r="G5" s="51">
        <f t="shared" si="10"/>
        <v>0.75000000000000011</v>
      </c>
      <c r="H5" s="52">
        <f t="shared" si="11"/>
        <v>0.67448975019608215</v>
      </c>
      <c r="I5" s="53">
        <v>1065</v>
      </c>
      <c r="J5" s="53">
        <f t="shared" si="12"/>
        <v>532.5</v>
      </c>
      <c r="K5" s="53">
        <v>610</v>
      </c>
      <c r="L5" s="54">
        <f t="shared" si="13"/>
        <v>431.33513652379395</v>
      </c>
      <c r="M5" s="55">
        <f t="shared" si="14"/>
        <v>823.43112848472674</v>
      </c>
      <c r="N5" s="56">
        <f t="shared" si="0"/>
        <v>64.335419241580965</v>
      </c>
      <c r="O5" s="56">
        <f t="shared" si="1"/>
        <v>468.16458075841905</v>
      </c>
      <c r="P5" s="56">
        <f t="shared" si="2"/>
        <v>355.26654772630769</v>
      </c>
      <c r="Q5" s="57">
        <f t="shared" si="3"/>
        <v>161419.56839214615</v>
      </c>
      <c r="R5" s="56">
        <f t="shared" si="4"/>
        <v>29693.270419191223</v>
      </c>
      <c r="S5" s="58">
        <f t="shared" si="5"/>
        <v>54656.39195789348</v>
      </c>
      <c r="T5" s="59">
        <f t="shared" si="15"/>
        <v>245769.23076923084</v>
      </c>
      <c r="U5" s="60">
        <f t="shared" si="16"/>
        <v>161419.56839214615</v>
      </c>
    </row>
    <row r="6" spans="1:21" ht="15" x14ac:dyDescent="0.2">
      <c r="A6" s="30" t="s">
        <v>8</v>
      </c>
      <c r="B6" s="31">
        <v>1500</v>
      </c>
      <c r="C6" s="31">
        <f t="shared" si="6"/>
        <v>1153.8461538461538</v>
      </c>
      <c r="D6" s="49">
        <f t="shared" si="7"/>
        <v>1038.4615384615386</v>
      </c>
      <c r="E6" s="50">
        <f t="shared" si="8"/>
        <v>346.15384615384619</v>
      </c>
      <c r="F6" s="50">
        <f t="shared" si="9"/>
        <v>115.38461538461524</v>
      </c>
      <c r="G6" s="51">
        <f t="shared" si="10"/>
        <v>0.75000000000000022</v>
      </c>
      <c r="H6" s="52">
        <f t="shared" si="11"/>
        <v>0.67448975019608237</v>
      </c>
      <c r="I6" s="53">
        <v>3441</v>
      </c>
      <c r="J6" s="53">
        <f t="shared" si="12"/>
        <v>1720.5</v>
      </c>
      <c r="K6" s="53">
        <v>1115</v>
      </c>
      <c r="L6" s="54">
        <f t="shared" si="13"/>
        <v>788.42406102300049</v>
      </c>
      <c r="M6" s="55">
        <f t="shared" si="14"/>
        <v>2252.2839479679842</v>
      </c>
      <c r="N6" s="56">
        <f t="shared" si="0"/>
        <v>117.59670894157827</v>
      </c>
      <c r="O6" s="56">
        <f t="shared" si="1"/>
        <v>1602.9032910584217</v>
      </c>
      <c r="P6" s="56">
        <f t="shared" si="2"/>
        <v>649.3806569095625</v>
      </c>
      <c r="Q6" s="57">
        <f t="shared" si="3"/>
        <v>479922.60187681206</v>
      </c>
      <c r="R6" s="56">
        <f t="shared" si="4"/>
        <v>40706.553095161711</v>
      </c>
      <c r="S6" s="58">
        <f t="shared" si="5"/>
        <v>74928.537335718662</v>
      </c>
      <c r="T6" s="59">
        <f t="shared" si="15"/>
        <v>595557.69230769237</v>
      </c>
      <c r="U6" s="60">
        <f t="shared" si="16"/>
        <v>479922.60187681206</v>
      </c>
    </row>
    <row r="7" spans="1:21" ht="15" x14ac:dyDescent="0.2">
      <c r="A7" s="30" t="s">
        <v>9</v>
      </c>
      <c r="B7" s="31">
        <v>2000</v>
      </c>
      <c r="C7" s="31">
        <f t="shared" si="6"/>
        <v>1538.4615384615383</v>
      </c>
      <c r="D7" s="49">
        <f t="shared" si="7"/>
        <v>1384.6153846153845</v>
      </c>
      <c r="E7" s="50">
        <f t="shared" si="8"/>
        <v>461.53846153846166</v>
      </c>
      <c r="F7" s="50">
        <f t="shared" si="9"/>
        <v>153.84615384615381</v>
      </c>
      <c r="G7" s="51">
        <f t="shared" si="10"/>
        <v>0.75000000000000011</v>
      </c>
      <c r="H7" s="52">
        <f t="shared" si="11"/>
        <v>0.67448975019608215</v>
      </c>
      <c r="I7" s="53">
        <v>1644</v>
      </c>
      <c r="J7" s="53">
        <f t="shared" si="12"/>
        <v>822</v>
      </c>
      <c r="K7" s="53">
        <v>911</v>
      </c>
      <c r="L7" s="54">
        <f t="shared" si="13"/>
        <v>644.17427766094477</v>
      </c>
      <c r="M7" s="55">
        <f t="shared" si="14"/>
        <v>1256.4889476222722</v>
      </c>
      <c r="N7" s="56">
        <f t="shared" si="0"/>
        <v>96.081257260787325</v>
      </c>
      <c r="O7" s="56">
        <f t="shared" si="1"/>
        <v>725.91874273921269</v>
      </c>
      <c r="P7" s="56">
        <f t="shared" si="2"/>
        <v>530.57020488305955</v>
      </c>
      <c r="Q7" s="57">
        <f t="shared" si="3"/>
        <v>253413.23435916603</v>
      </c>
      <c r="R7" s="56">
        <f t="shared" si="4"/>
        <v>44345.19565882493</v>
      </c>
      <c r="S7" s="58">
        <f t="shared" si="5"/>
        <v>81626.18536662453</v>
      </c>
      <c r="T7" s="59">
        <f t="shared" si="15"/>
        <v>379384.61538461549</v>
      </c>
      <c r="U7" s="60">
        <f t="shared" si="16"/>
        <v>253413.23435916603</v>
      </c>
    </row>
    <row r="8" spans="1:21" ht="15" x14ac:dyDescent="0.2">
      <c r="A8" s="30" t="s">
        <v>10</v>
      </c>
      <c r="B8" s="31">
        <v>1600</v>
      </c>
      <c r="C8" s="31">
        <f t="shared" si="6"/>
        <v>1230.7692307692307</v>
      </c>
      <c r="D8" s="49">
        <f t="shared" si="7"/>
        <v>1107.6923076923076</v>
      </c>
      <c r="E8" s="50">
        <f t="shared" si="8"/>
        <v>369.23076923076928</v>
      </c>
      <c r="F8" s="50">
        <f t="shared" si="9"/>
        <v>123.07692307692309</v>
      </c>
      <c r="G8" s="51">
        <f t="shared" si="10"/>
        <v>0.75</v>
      </c>
      <c r="H8" s="52">
        <f t="shared" si="11"/>
        <v>0.67448975019608193</v>
      </c>
      <c r="I8" s="53">
        <v>2316</v>
      </c>
      <c r="J8" s="53">
        <f t="shared" si="12"/>
        <v>1158</v>
      </c>
      <c r="K8" s="53">
        <v>697</v>
      </c>
      <c r="L8" s="54">
        <f t="shared" si="13"/>
        <v>492.85342648702357</v>
      </c>
      <c r="M8" s="55">
        <f t="shared" si="14"/>
        <v>1490.4245845145156</v>
      </c>
      <c r="N8" s="56">
        <f t="shared" si="0"/>
        <v>73.511126576035949</v>
      </c>
      <c r="O8" s="56">
        <f t="shared" si="1"/>
        <v>1084.4888734239642</v>
      </c>
      <c r="P8" s="56">
        <f t="shared" si="2"/>
        <v>405.93571109055142</v>
      </c>
      <c r="Q8" s="57">
        <f t="shared" si="3"/>
        <v>350465.34266847279</v>
      </c>
      <c r="R8" s="56">
        <f t="shared" si="4"/>
        <v>27142.569812690199</v>
      </c>
      <c r="S8" s="58">
        <f t="shared" si="5"/>
        <v>49961.318288067872</v>
      </c>
      <c r="T8" s="59">
        <f t="shared" si="15"/>
        <v>427569.23076923087</v>
      </c>
      <c r="U8" s="60">
        <f t="shared" si="16"/>
        <v>350465.34266847279</v>
      </c>
    </row>
    <row r="9" spans="1:21" ht="15" x14ac:dyDescent="0.2">
      <c r="A9" s="30" t="s">
        <v>11</v>
      </c>
      <c r="B9" s="31">
        <v>1700</v>
      </c>
      <c r="C9" s="31">
        <f t="shared" si="6"/>
        <v>1307.6923076923076</v>
      </c>
      <c r="D9" s="49">
        <f t="shared" si="7"/>
        <v>1176.9230769230769</v>
      </c>
      <c r="E9" s="50">
        <f t="shared" si="8"/>
        <v>392.30769230769238</v>
      </c>
      <c r="F9" s="50">
        <f t="shared" si="9"/>
        <v>130.76923076923072</v>
      </c>
      <c r="G9" s="51">
        <f t="shared" si="10"/>
        <v>0.75000000000000011</v>
      </c>
      <c r="H9" s="52">
        <f t="shared" si="11"/>
        <v>0.67448975019608215</v>
      </c>
      <c r="I9" s="53">
        <v>1528</v>
      </c>
      <c r="J9" s="53">
        <f t="shared" si="12"/>
        <v>764</v>
      </c>
      <c r="K9" s="53">
        <v>338</v>
      </c>
      <c r="L9" s="54">
        <f t="shared" si="13"/>
        <v>239.00209204105306</v>
      </c>
      <c r="M9" s="55">
        <f t="shared" si="14"/>
        <v>925.20446135711086</v>
      </c>
      <c r="N9" s="56">
        <f t="shared" si="0"/>
        <v>35.648150333859611</v>
      </c>
      <c r="O9" s="56">
        <f t="shared" si="1"/>
        <v>728.35184966614042</v>
      </c>
      <c r="P9" s="56">
        <f t="shared" si="2"/>
        <v>196.85261169097043</v>
      </c>
      <c r="Q9" s="57">
        <f t="shared" si="3"/>
        <v>259995.76872482055</v>
      </c>
      <c r="R9" s="56">
        <f t="shared" si="4"/>
        <v>13985.043592514157</v>
      </c>
      <c r="S9" s="58">
        <f t="shared" si="5"/>
        <v>25742.264605742279</v>
      </c>
      <c r="T9" s="59">
        <f t="shared" si="15"/>
        <v>299723.07692307699</v>
      </c>
      <c r="U9" s="60">
        <f t="shared" si="16"/>
        <v>259995.76872482055</v>
      </c>
    </row>
    <row r="10" spans="1:21" ht="15" x14ac:dyDescent="0.2">
      <c r="A10" s="30" t="s">
        <v>12</v>
      </c>
      <c r="B10" s="31">
        <v>2000</v>
      </c>
      <c r="C10" s="31">
        <f t="shared" si="6"/>
        <v>1538.4615384615383</v>
      </c>
      <c r="D10" s="49">
        <f t="shared" si="7"/>
        <v>1384.6153846153845</v>
      </c>
      <c r="E10" s="50">
        <f t="shared" ref="E10" si="17">B10-C10</f>
        <v>461.53846153846166</v>
      </c>
      <c r="F10" s="50">
        <f t="shared" ref="F10" si="18">C10-D10</f>
        <v>153.84615384615381</v>
      </c>
      <c r="G10" s="51">
        <f t="shared" si="10"/>
        <v>0.75000000000000011</v>
      </c>
      <c r="H10" s="52">
        <f t="shared" si="11"/>
        <v>0.67448975019608215</v>
      </c>
      <c r="I10" s="53">
        <v>1569</v>
      </c>
      <c r="J10" s="53">
        <f t="shared" si="12"/>
        <v>784.5</v>
      </c>
      <c r="K10" s="53">
        <v>747</v>
      </c>
      <c r="L10" s="54">
        <f t="shared" si="13"/>
        <v>528.20876554635095</v>
      </c>
      <c r="M10" s="55">
        <f t="shared" si="14"/>
        <v>1140.771398324739</v>
      </c>
      <c r="N10" s="56">
        <f t="shared" si="0"/>
        <v>78.78452159583766</v>
      </c>
      <c r="O10" s="56">
        <f t="shared" si="1"/>
        <v>705.71547840416235</v>
      </c>
      <c r="P10" s="56">
        <f t="shared" si="2"/>
        <v>435.05591992057668</v>
      </c>
      <c r="Q10" s="57">
        <f t="shared" si="3"/>
        <v>258783.15619875552</v>
      </c>
      <c r="R10" s="56">
        <f t="shared" si="4"/>
        <v>36362.086890386621</v>
      </c>
      <c r="S10" s="58">
        <f t="shared" si="5"/>
        <v>66931.679987781012</v>
      </c>
      <c r="T10" s="59">
        <f t="shared" si="15"/>
        <v>362076.92307692312</v>
      </c>
      <c r="U10" s="60">
        <f t="shared" si="16"/>
        <v>258783.15619875552</v>
      </c>
    </row>
    <row r="11" spans="1:21" ht="16" thickBot="1" x14ac:dyDescent="0.25">
      <c r="A11" s="32" t="s">
        <v>13</v>
      </c>
      <c r="B11" s="33">
        <v>1500</v>
      </c>
      <c r="C11" s="33">
        <f t="shared" si="6"/>
        <v>1153.8461538461538</v>
      </c>
      <c r="D11" s="61">
        <f t="shared" si="7"/>
        <v>1038.4615384615386</v>
      </c>
      <c r="E11" s="62">
        <f>B11-C11</f>
        <v>346.15384615384619</v>
      </c>
      <c r="F11" s="62">
        <f>C11-D11</f>
        <v>115.38461538461524</v>
      </c>
      <c r="G11" s="63">
        <f>E11/(E11+F11)</f>
        <v>0.75000000000000022</v>
      </c>
      <c r="H11" s="64">
        <f>NORMSINV(G11)</f>
        <v>0.67448975019608237</v>
      </c>
      <c r="I11" s="65">
        <v>3795</v>
      </c>
      <c r="J11" s="65">
        <f t="shared" si="12"/>
        <v>1897.5</v>
      </c>
      <c r="K11" s="65">
        <v>1982</v>
      </c>
      <c r="L11" s="66">
        <f t="shared" si="13"/>
        <v>1401.4856403117371</v>
      </c>
      <c r="M11" s="67">
        <f>J11+H11*L11</f>
        <v>2842.78769943726</v>
      </c>
      <c r="N11" s="68">
        <f t="shared" si="0"/>
        <v>209.03737858493997</v>
      </c>
      <c r="O11" s="68">
        <f t="shared" si="1"/>
        <v>1688.4626214150601</v>
      </c>
      <c r="P11" s="68">
        <f t="shared" si="2"/>
        <v>1154.3250780221999</v>
      </c>
      <c r="Q11" s="69">
        <f t="shared" si="3"/>
        <v>451276.47533342108</v>
      </c>
      <c r="R11" s="68">
        <f t="shared" si="4"/>
        <v>72359.092587094608</v>
      </c>
      <c r="S11" s="70">
        <f t="shared" si="5"/>
        <v>133191.35515640752</v>
      </c>
      <c r="T11" s="71">
        <f t="shared" si="15"/>
        <v>656826.92307692324</v>
      </c>
      <c r="U11" s="72">
        <f t="shared" si="16"/>
        <v>451276.47533342108</v>
      </c>
    </row>
    <row r="12" spans="1:21" x14ac:dyDescent="0.1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0"/>
      <c r="P12" s="10"/>
      <c r="Q12" s="10"/>
    </row>
    <row r="13" spans="1:21" x14ac:dyDescent="0.1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0"/>
      <c r="P13" s="9"/>
      <c r="Q13" s="11"/>
      <c r="R13" s="22">
        <f>SUM(R2:R11)</f>
        <v>445786.04235316743</v>
      </c>
      <c r="S13" s="22">
        <f>SUM(S2:S11)</f>
        <v>820558.20447670552</v>
      </c>
      <c r="T13" s="23">
        <f>SUM(T2:T11)</f>
        <v>4430250.0000000009</v>
      </c>
      <c r="U13" s="24">
        <f>SUM(U2:U11)</f>
        <v>3163905.753170128</v>
      </c>
    </row>
    <row r="14" spans="1:21" x14ac:dyDescent="0.15">
      <c r="A14" s="13" t="s">
        <v>14</v>
      </c>
      <c r="B14" s="13">
        <v>200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0">
        <f>2840-1221</f>
        <v>1619</v>
      </c>
      <c r="P14" s="10"/>
      <c r="Q14" s="10"/>
    </row>
    <row r="15" spans="1:21" x14ac:dyDescent="0.15">
      <c r="A15" s="13" t="s">
        <v>17</v>
      </c>
      <c r="B15" s="13">
        <v>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0"/>
      <c r="P15" s="10"/>
      <c r="Q15" s="10"/>
    </row>
    <row r="16" spans="1:21" x14ac:dyDescent="0.15">
      <c r="A16" s="13" t="s">
        <v>19</v>
      </c>
      <c r="B16" s="13">
        <v>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15">
      <c r="P17" s="2"/>
      <c r="Q17" s="2"/>
    </row>
    <row r="18" spans="1:17" x14ac:dyDescent="0.15">
      <c r="A18" s="25" t="s">
        <v>20</v>
      </c>
      <c r="B18" s="1">
        <f>SUM(T13:U13)</f>
        <v>7594155.7531701289</v>
      </c>
      <c r="Q18" s="1"/>
    </row>
    <row r="19" spans="1:17" x14ac:dyDescent="0.15">
      <c r="N19" s="1"/>
      <c r="O19" s="1"/>
    </row>
    <row r="20" spans="1:17" x14ac:dyDescent="0.15">
      <c r="A20" s="14"/>
      <c r="C20" s="15"/>
      <c r="P20" s="1"/>
      <c r="Q20" s="1"/>
    </row>
    <row r="21" spans="1:17" x14ac:dyDescent="0.15">
      <c r="A21" s="14"/>
      <c r="B21" s="1"/>
      <c r="P21" s="1"/>
      <c r="Q21" s="1"/>
    </row>
    <row r="22" spans="1:17" x14ac:dyDescent="0.15">
      <c r="P22" s="1"/>
      <c r="Q22" s="1"/>
    </row>
    <row r="23" spans="1:17" x14ac:dyDescent="0.15">
      <c r="P23" s="1"/>
      <c r="Q23" s="1"/>
    </row>
    <row r="24" spans="1:17" x14ac:dyDescent="0.15">
      <c r="P24" s="1"/>
      <c r="Q24" s="1"/>
    </row>
    <row r="25" spans="1:17" x14ac:dyDescent="0.15">
      <c r="P25" s="1"/>
      <c r="Q25" s="1"/>
    </row>
    <row r="26" spans="1:17" x14ac:dyDescent="0.15">
      <c r="P26" s="1"/>
      <c r="Q26" s="1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4845-D442-5B44-BBC8-4F209067D53F}">
  <dimension ref="A1:U19"/>
  <sheetViews>
    <sheetView tabSelected="1" topLeftCell="A7" zoomScale="138" workbookViewId="0">
      <selection activeCell="H21" sqref="H21"/>
    </sheetView>
  </sheetViews>
  <sheetFormatPr baseColWidth="10" defaultRowHeight="13" x14ac:dyDescent="0.15"/>
  <sheetData>
    <row r="1" spans="1:21" ht="49" thickBot="1" x14ac:dyDescent="0.25">
      <c r="A1" s="4" t="s">
        <v>0</v>
      </c>
      <c r="B1" s="5" t="s">
        <v>15</v>
      </c>
      <c r="C1" s="5" t="s">
        <v>16</v>
      </c>
      <c r="D1" s="16" t="s">
        <v>18</v>
      </c>
      <c r="E1" s="16" t="s">
        <v>25</v>
      </c>
      <c r="F1" s="16" t="s">
        <v>24</v>
      </c>
      <c r="G1" s="16" t="s">
        <v>26</v>
      </c>
      <c r="H1" s="16" t="s">
        <v>27</v>
      </c>
      <c r="I1" s="5" t="s">
        <v>1</v>
      </c>
      <c r="J1" s="16" t="s">
        <v>47</v>
      </c>
      <c r="K1" s="5" t="s">
        <v>2</v>
      </c>
      <c r="L1" s="16" t="s">
        <v>48</v>
      </c>
      <c r="M1" s="19" t="s">
        <v>33</v>
      </c>
      <c r="N1" s="16" t="s">
        <v>34</v>
      </c>
      <c r="O1" s="16" t="s">
        <v>35</v>
      </c>
      <c r="P1" s="16" t="s">
        <v>36</v>
      </c>
      <c r="Q1" s="19" t="s">
        <v>37</v>
      </c>
      <c r="R1" s="16" t="s">
        <v>38</v>
      </c>
      <c r="S1" s="20" t="s">
        <v>39</v>
      </c>
      <c r="T1" s="35" t="s">
        <v>40</v>
      </c>
      <c r="U1" s="36" t="s">
        <v>41</v>
      </c>
    </row>
    <row r="2" spans="1:21" ht="15" x14ac:dyDescent="0.2">
      <c r="A2" s="6" t="s">
        <v>49</v>
      </c>
      <c r="B2" s="7">
        <v>215</v>
      </c>
      <c r="C2" s="37">
        <v>137</v>
      </c>
      <c r="D2" s="38">
        <v>-14</v>
      </c>
      <c r="E2" s="39">
        <f>B2-C2</f>
        <v>78</v>
      </c>
      <c r="F2" s="39">
        <f>C2-D2</f>
        <v>151</v>
      </c>
      <c r="G2" s="40">
        <f>E2/(E2+F2)</f>
        <v>0.34061135371179041</v>
      </c>
      <c r="H2" s="41">
        <f>NORMSINV(G2)</f>
        <v>-0.41079520778415013</v>
      </c>
      <c r="I2" s="34">
        <v>58</v>
      </c>
      <c r="J2" s="34">
        <f>I2/$B$8</f>
        <v>29</v>
      </c>
      <c r="K2" s="34">
        <v>4</v>
      </c>
      <c r="L2" s="42">
        <f>K2/SQRT($B$8)</f>
        <v>2.8284271247461898</v>
      </c>
      <c r="M2" s="43">
        <f>J2+H2*L2</f>
        <v>27.838095691587561</v>
      </c>
      <c r="N2" s="44">
        <f t="shared" ref="N2:N3" si="0">L2*(NORMDIST((M2-J2)/L2,0,1,0)-(M2-J2)/L2*(1-NORMSDIST((M2-J2)/L2)))</f>
        <v>1.8032232053049282</v>
      </c>
      <c r="O2" s="44">
        <f t="shared" ref="O2:O3" si="1">J2-N2</f>
        <v>27.196776794695072</v>
      </c>
      <c r="P2" s="44">
        <f t="shared" ref="P2:P3" si="2">M2-O2</f>
        <v>0.64131889689248922</v>
      </c>
      <c r="Q2" s="45">
        <f t="shared" ref="Q2:Q3" si="3">E2*O2-F2*P2</f>
        <v>2024.5094365554498</v>
      </c>
      <c r="R2" s="44">
        <f t="shared" ref="R2:R3" si="4">E2*N2</f>
        <v>140.65141001378439</v>
      </c>
      <c r="S2" s="46">
        <f t="shared" ref="S2:S3" si="5">F2*P2</f>
        <v>96.839153430765876</v>
      </c>
      <c r="T2" s="47">
        <f>Q2+R2+S2</f>
        <v>2262</v>
      </c>
      <c r="U2" s="48">
        <f>Q2</f>
        <v>2024.5094365554498</v>
      </c>
    </row>
    <row r="3" spans="1:21" ht="15" x14ac:dyDescent="0.2">
      <c r="A3" s="30" t="s">
        <v>50</v>
      </c>
      <c r="B3" s="31">
        <v>255</v>
      </c>
      <c r="C3" s="31">
        <v>157</v>
      </c>
      <c r="D3" s="49">
        <v>-110</v>
      </c>
      <c r="E3" s="50">
        <f t="shared" ref="E3:F3" si="6">B3-C3</f>
        <v>98</v>
      </c>
      <c r="F3" s="50">
        <f t="shared" si="6"/>
        <v>267</v>
      </c>
      <c r="G3" s="51">
        <f t="shared" ref="G3" si="7">E3/(E3+F3)</f>
        <v>0.26849315068493151</v>
      </c>
      <c r="H3" s="52">
        <f t="shared" ref="H3" si="8">NORMSINV(G3)</f>
        <v>-0.61737667790508921</v>
      </c>
      <c r="I3" s="53">
        <v>28</v>
      </c>
      <c r="J3" s="53">
        <f>I3/$B$8</f>
        <v>14</v>
      </c>
      <c r="K3" s="53">
        <v>5</v>
      </c>
      <c r="L3" s="54">
        <f>K3/SQRT($B$8)</f>
        <v>3.5355339059327373</v>
      </c>
      <c r="M3" s="55">
        <f t="shared" ref="M3" si="9">J3+H3*L3</f>
        <v>11.817243822534442</v>
      </c>
      <c r="N3" s="56">
        <f t="shared" si="0"/>
        <v>2.7624326184134973</v>
      </c>
      <c r="O3" s="56">
        <f t="shared" si="1"/>
        <v>11.237567381586503</v>
      </c>
      <c r="P3" s="56">
        <f t="shared" si="2"/>
        <v>0.57967644094793869</v>
      </c>
      <c r="Q3" s="57">
        <f t="shared" si="3"/>
        <v>946.50799366237766</v>
      </c>
      <c r="R3" s="56">
        <f t="shared" si="4"/>
        <v>270.71839660452275</v>
      </c>
      <c r="S3" s="58">
        <f t="shared" si="5"/>
        <v>154.77360973309962</v>
      </c>
      <c r="T3" s="59">
        <f t="shared" ref="T3" si="10">Q3+R3+S3</f>
        <v>1372</v>
      </c>
      <c r="U3" s="60">
        <f t="shared" ref="U3" si="11">Q3</f>
        <v>946.50799366237766</v>
      </c>
    </row>
    <row r="4" spans="1:2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0"/>
      <c r="P4" s="10"/>
      <c r="Q4" s="10"/>
    </row>
    <row r="5" spans="1:21" x14ac:dyDescent="0.1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0"/>
      <c r="P5" s="9"/>
      <c r="Q5" s="11"/>
      <c r="R5" s="22">
        <f>SUM(R2:R3)</f>
        <v>411.36980661830717</v>
      </c>
      <c r="S5" s="22">
        <f>SUM(S2:S3)</f>
        <v>251.61276316386551</v>
      </c>
      <c r="T5" s="23">
        <f>SUM(T2:T3)</f>
        <v>3634</v>
      </c>
      <c r="U5" s="24">
        <f>SUM(U2:U3)</f>
        <v>2971.0174302178275</v>
      </c>
    </row>
    <row r="6" spans="1:21" x14ac:dyDescent="0.15">
      <c r="A6" s="13" t="s">
        <v>14</v>
      </c>
      <c r="B6" s="13">
        <v>200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0">
        <f>2840-1221</f>
        <v>1619</v>
      </c>
      <c r="P6" s="10"/>
      <c r="Q6" s="10"/>
    </row>
    <row r="7" spans="1:21" x14ac:dyDescent="0.15">
      <c r="A7" s="13" t="s">
        <v>17</v>
      </c>
      <c r="B7" s="13">
        <v>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0"/>
      <c r="P7" s="10"/>
      <c r="Q7" s="10"/>
    </row>
    <row r="8" spans="1:21" x14ac:dyDescent="0.15">
      <c r="A8" s="13" t="s">
        <v>19</v>
      </c>
      <c r="B8" s="13">
        <v>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21" x14ac:dyDescent="0.15">
      <c r="P9" s="2"/>
      <c r="Q9" s="2"/>
    </row>
    <row r="10" spans="1:21" x14ac:dyDescent="0.15">
      <c r="A10" s="25" t="s">
        <v>20</v>
      </c>
      <c r="B10" s="1">
        <f>SUM(T5:U5)</f>
        <v>6605.0174302178275</v>
      </c>
      <c r="Q10" s="1"/>
    </row>
    <row r="11" spans="1:21" x14ac:dyDescent="0.15">
      <c r="N11" s="1"/>
      <c r="O11" s="1"/>
    </row>
    <row r="12" spans="1:21" x14ac:dyDescent="0.15">
      <c r="A12" s="14"/>
      <c r="C12" s="15"/>
      <c r="P12" s="1"/>
      <c r="Q12" s="1"/>
    </row>
    <row r="13" spans="1:21" ht="14" thickBot="1" x14ac:dyDescent="0.2">
      <c r="A13" s="14"/>
      <c r="B13" s="1"/>
      <c r="P13" s="1"/>
      <c r="Q13" s="1"/>
    </row>
    <row r="14" spans="1:21" ht="33" thickBot="1" x14ac:dyDescent="0.25">
      <c r="A14" s="4" t="s">
        <v>0</v>
      </c>
      <c r="B14" s="16" t="s">
        <v>21</v>
      </c>
      <c r="C14" s="16" t="s">
        <v>23</v>
      </c>
      <c r="D14" s="5" t="s">
        <v>16</v>
      </c>
      <c r="E14" s="16" t="s">
        <v>18</v>
      </c>
      <c r="F14" s="16" t="s">
        <v>25</v>
      </c>
      <c r="G14" s="16" t="s">
        <v>24</v>
      </c>
      <c r="H14" s="16" t="s">
        <v>26</v>
      </c>
      <c r="I14" s="16" t="s">
        <v>27</v>
      </c>
      <c r="J14" s="5" t="s">
        <v>1</v>
      </c>
      <c r="K14" s="5" t="s">
        <v>2</v>
      </c>
      <c r="L14" s="18" t="s">
        <v>3</v>
      </c>
      <c r="M14" s="16" t="s">
        <v>28</v>
      </c>
      <c r="N14" s="16" t="s">
        <v>29</v>
      </c>
      <c r="O14" s="16" t="s">
        <v>30</v>
      </c>
      <c r="P14" s="19" t="s">
        <v>22</v>
      </c>
      <c r="Q14" s="16" t="s">
        <v>31</v>
      </c>
      <c r="R14" s="20" t="s">
        <v>32</v>
      </c>
    </row>
    <row r="15" spans="1:21" ht="16" thickBot="1" x14ac:dyDescent="0.25">
      <c r="A15" s="6" t="s">
        <v>52</v>
      </c>
      <c r="B15" s="37">
        <v>215</v>
      </c>
      <c r="C15" s="37">
        <v>135</v>
      </c>
      <c r="D15" s="37">
        <v>145</v>
      </c>
      <c r="E15" s="39">
        <v>13</v>
      </c>
      <c r="F15" s="39">
        <f>B15-D15</f>
        <v>70</v>
      </c>
      <c r="G15" s="39">
        <f>D15-E15</f>
        <v>132</v>
      </c>
      <c r="H15" s="40">
        <f>F15/(F15+G15)</f>
        <v>0.34653465346534651</v>
      </c>
      <c r="I15" s="40">
        <f>NORMSINV(H15)</f>
        <v>-0.39469322015939162</v>
      </c>
      <c r="J15" s="34">
        <v>55</v>
      </c>
      <c r="K15" s="34">
        <v>2</v>
      </c>
      <c r="L15" s="45">
        <f>J15+I15*K15</f>
        <v>54.210613559681214</v>
      </c>
      <c r="M15" s="44">
        <f>K15*(NORMDIST((L15-J15)/K15,0,1,0)-(L15-J15)/K15*(1-NORMSDIST((L15-J15)/K15)))</f>
        <v>1.2539316946332213</v>
      </c>
      <c r="N15" s="44">
        <f t="shared" ref="N15:N16" si="12">J15-M15</f>
        <v>53.746068305366776</v>
      </c>
      <c r="O15" s="44">
        <f t="shared" ref="O15:O16" si="13">L15-N15</f>
        <v>0.46454525431443727</v>
      </c>
      <c r="P15" s="45">
        <f t="shared" ref="P15:P16" si="14">F15*N15-G15*O15</f>
        <v>3700.9048078061687</v>
      </c>
      <c r="Q15" s="44">
        <f t="shared" ref="Q15:Q16" si="15">F15*M15</f>
        <v>87.77521862432549</v>
      </c>
      <c r="R15" s="46">
        <f t="shared" ref="R15:R16" si="16">G15*O15</f>
        <v>61.31997356950572</v>
      </c>
    </row>
    <row r="16" spans="1:21" ht="15" x14ac:dyDescent="0.2">
      <c r="A16" s="8" t="s">
        <v>53</v>
      </c>
      <c r="B16" s="31">
        <v>255</v>
      </c>
      <c r="C16" s="31">
        <v>155</v>
      </c>
      <c r="D16" s="37">
        <v>165</v>
      </c>
      <c r="E16" s="50">
        <v>108</v>
      </c>
      <c r="F16" s="50">
        <f t="shared" ref="F16" si="17">B16-D16</f>
        <v>90</v>
      </c>
      <c r="G16" s="50">
        <f>D16-E16</f>
        <v>57</v>
      </c>
      <c r="H16" s="51">
        <f>F16/(F16+G16)</f>
        <v>0.61224489795918369</v>
      </c>
      <c r="I16" s="51">
        <f>NORMSINV(H16)</f>
        <v>0.28517482834512908</v>
      </c>
      <c r="J16" s="53">
        <v>32</v>
      </c>
      <c r="K16" s="53">
        <v>5</v>
      </c>
      <c r="L16" s="45">
        <f>J16+I16*K16</f>
        <v>33.425874141725643</v>
      </c>
      <c r="M16" s="56">
        <f t="shared" ref="M16" si="18">K16*(NORMDIST((L16-J16)/K16,0,1,0)-(L16-J16)/K16*(1-NORMSDIST((L16-J16)/K16)))</f>
        <v>1.3623387205092086</v>
      </c>
      <c r="N16" s="56">
        <f t="shared" si="12"/>
        <v>30.637661279490793</v>
      </c>
      <c r="O16" s="56">
        <f t="shared" si="13"/>
        <v>2.7882128622348503</v>
      </c>
      <c r="P16" s="57">
        <f t="shared" si="14"/>
        <v>2598.4613820067852</v>
      </c>
      <c r="Q16" s="56">
        <f t="shared" si="15"/>
        <v>122.61048484582876</v>
      </c>
      <c r="R16" s="58">
        <f t="shared" si="16"/>
        <v>158.92813314738646</v>
      </c>
    </row>
    <row r="19" spans="1:2" x14ac:dyDescent="0.15">
      <c r="A19" s="73" t="s">
        <v>51</v>
      </c>
      <c r="B1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Order</vt:lpstr>
      <vt:lpstr>Two Period Model</vt:lpstr>
      <vt:lpstr>simulatio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Sport Obermeyer Analysis</dc:title>
  <dc:creator>Sunil Chopra</dc:creator>
  <cp:lastModifiedBy>Microsoft Office User</cp:lastModifiedBy>
  <cp:lastPrinted>1997-01-17T20:16:52Z</cp:lastPrinted>
  <dcterms:created xsi:type="dcterms:W3CDTF">2006-09-05T20:58:35Z</dcterms:created>
  <dcterms:modified xsi:type="dcterms:W3CDTF">2021-10-27T21:29:18Z</dcterms:modified>
</cp:coreProperties>
</file>